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FayBXA1WaY9zZ8zwnOyHP6fmGDz+BHy7wVZ/3yIh84rWm45OnQsYxY+W8F+BfJDwwXpNSk6UQQRgvfH49nSXA==" workbookSaltValue="FOBllxggJn6g+fcbizCc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7" i="8" l="1"/>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X13"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<sst xmlns="http://schemas.openxmlformats.org/spreadsheetml/2006/main" count="2682" uniqueCount="1192">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</sst>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7j15aEMHsQPgdoMSRHyjMQ5lPRf2J5BhJg//AJSJt3zKBOOm1tSBlw3dV4OxdtkFQZ8oC/HjFGCexLwPoOsBQ==" saltValue="U8bQUY2FkYFoV9vMJIaI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4</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1.5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26.966019417475728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242</v>
      </c>
      <c r="D17" s="239">
        <f>IF(ISNUMBER(IF(D_I="SI",Datos!I17,Datos!I17+Datos!AC17)),IF(D_I="SI",Datos!I17,Datos!I17+Datos!AC17)," - ")</f>
        <v>240</v>
      </c>
      <c r="E17" s="240">
        <f>IF(ISNUMBER(IF(D_I="SI",Datos!J17,Datos!J17+Datos!AD17)),IF(D_I="SI",Datos!J17,Datos!J17+Datos!AD17)," - ")</f>
        <v>221</v>
      </c>
      <c r="F17" s="240">
        <f>IF(ISNUMBER(IF(D_I="SI",Datos!K17,Datos!K17+Datos!AE17)),IF(D_I="SI",Datos!K17,Datos!K17+Datos!AE17)," - ")</f>
        <v>257</v>
      </c>
      <c r="G17" s="1390" t="str">
        <f>IF(Datos!E17&lt;&gt;"",Datos!E17,Datos!D17)</f>
        <v>04</v>
      </c>
      <c r="H17" s="241">
        <f>IF(ISNUMBER(IF(D_I="SI",Datos!L17,Datos!L17+Datos!AF17)),IF(D_I="SI",Datos!L17,Datos!L17+Datos!AF17)," - ")</f>
        <v>206</v>
      </c>
      <c r="I17" s="1400" t="str">
        <f>IF(ISNUMBER(Datos!AS17/Datos!BM17),Datos!AS17/Datos!BM17," - ")</f>
        <v xml:space="preserve"> - </v>
      </c>
      <c r="J17" s="1401">
        <f>IF(ISNUMBER(Datos!BY17/Datos!CN17),Datos!BY17/Datos!CN17," - ")</f>
        <v>0</v>
      </c>
      <c r="K17" s="244">
        <f t="shared" si="3"/>
        <v>-0.1487603305785124</v>
      </c>
      <c r="L17" s="1402">
        <f>IF(ISNUMBER(NºAsuntos!I17/NºAsuntos!G17),(NºAsuntos!I17/NºAsuntos!G17)*11," - ")</f>
        <v>8.817120622568094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16</v>
      </c>
      <c r="F18" s="240">
        <f>IF(ISNUMBER(IF(D_I="SI",Datos!K18,Datos!K18+Datos!AE18)),IF(D_I="SI",Datos!K18,Datos!K18+Datos!AE18)," - ")</f>
        <v>19</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7.5263157894736841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258</v>
      </c>
      <c r="D23" s="1407">
        <f>SUBTOTAL(9,D16:D22)</f>
        <v>256</v>
      </c>
      <c r="E23" s="1408">
        <f>SUBTOTAL(9,E16:E22)</f>
        <v>237</v>
      </c>
      <c r="F23" s="1408">
        <f>SUBTOTAL(9,F16:F22)</f>
        <v>276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260</v>
      </c>
      <c r="D31" s="1435">
        <f>SUBTOTAL(9,D9:D30)</f>
        <v>258</v>
      </c>
      <c r="E31" s="1436">
        <f>SUBTOTAL(9,E9:E30)</f>
        <v>241</v>
      </c>
      <c r="F31" s="1436">
        <f>SUBTOTAL(9,F9:F30)</f>
        <v>277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HyWMb3G3yi/OFyoGfR+c9FBlSeVDwNU/0DaiP08i9SN9wrIsO4CKlOoifnccMx2q0LqFNeyY9QqSERnZtTaog==" saltValue="gwWrV6dvDgC1wd2xIHbJ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VwhhZoToBb2iHrsjXXfE6oGtXhPNaUw6zX/5as5/LF4UBJC2gBY4nHtoFsNgUCPqlvTKjVXb+UH3aZ77u7NpQ==" saltValue="LHDct10FVZ4rBxc7YsJr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4</v>
      </c>
      <c r="K10" s="194">
        <v>1</v>
      </c>
      <c r="L10" s="194">
        <v>5</v>
      </c>
      <c r="M10" s="194">
        <v>1</v>
      </c>
      <c r="N10" s="194">
        <v>0</v>
      </c>
      <c r="O10" s="194">
        <v>0</v>
      </c>
      <c r="P10" s="194">
        <v>1</v>
      </c>
      <c r="Q10" s="194">
        <v>0</v>
      </c>
      <c r="R10" s="194">
        <v>1</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448</v>
      </c>
      <c r="J12" s="196">
        <v>225</v>
      </c>
      <c r="K12" s="196">
        <v>197</v>
      </c>
      <c r="L12" s="196">
        <v>477</v>
      </c>
      <c r="M12" s="196">
        <v>50</v>
      </c>
      <c r="N12" s="196">
        <v>85</v>
      </c>
      <c r="O12" s="194">
        <v>105</v>
      </c>
      <c r="P12" s="196">
        <v>53</v>
      </c>
      <c r="Q12" s="196">
        <v>153</v>
      </c>
      <c r="R12" s="196">
        <v>1062</v>
      </c>
      <c r="S12" s="196">
        <v>543</v>
      </c>
      <c r="T12" s="196">
        <v>183</v>
      </c>
      <c r="U12" s="196">
        <v>204</v>
      </c>
      <c r="V12" s="196">
        <v>522</v>
      </c>
      <c r="W12" s="196">
        <v>41</v>
      </c>
      <c r="X12" s="202">
        <v>97</v>
      </c>
      <c r="Y12" s="204">
        <v>16</v>
      </c>
      <c r="Z12" s="194">
        <v>21</v>
      </c>
      <c r="AA12" s="194">
        <v>9</v>
      </c>
      <c r="AB12" s="194">
        <v>28</v>
      </c>
      <c r="AC12" s="196">
        <v>0</v>
      </c>
      <c r="AD12" s="196">
        <v>0</v>
      </c>
      <c r="AE12" s="196">
        <v>0</v>
      </c>
      <c r="AF12" s="202">
        <v>0</v>
      </c>
      <c r="AG12" s="215">
        <v>17</v>
      </c>
      <c r="AH12" s="196">
        <v>20</v>
      </c>
      <c r="AI12" s="196">
        <v>12</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560</v>
      </c>
      <c r="AZ12" s="137">
        <f t="shared" si="1"/>
        <v>203</v>
      </c>
      <c r="BA12" s="137">
        <f t="shared" si="1"/>
        <v>216</v>
      </c>
      <c r="BB12" s="137">
        <f t="shared" si="1"/>
        <v>547</v>
      </c>
      <c r="BC12" s="135">
        <f>IF(ISNUMBER(X12),X12," - ")</f>
        <v>97</v>
      </c>
      <c r="BD12" s="136">
        <f t="shared" si="2"/>
        <v>1.0640394088669951</v>
      </c>
      <c r="BE12" s="137">
        <f t="shared" si="3"/>
        <v>2.5324074074074074</v>
      </c>
      <c r="BF12" s="137">
        <f t="shared" si="4"/>
        <v>0.44907407407407407</v>
      </c>
      <c r="BG12" s="209">
        <f t="shared" si="5"/>
        <v>3.5324074074074074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450</v>
      </c>
      <c r="J14" s="197">
        <f t="shared" si="7"/>
        <v>229</v>
      </c>
      <c r="K14" s="197">
        <f t="shared" si="7"/>
        <v>198</v>
      </c>
      <c r="L14" s="197">
        <f t="shared" si="7"/>
        <v>482</v>
      </c>
      <c r="M14" s="197">
        <f t="shared" si="7"/>
        <v>51</v>
      </c>
      <c r="N14" s="197">
        <f t="shared" si="7"/>
        <v>85</v>
      </c>
      <c r="O14" s="197">
        <f t="shared" si="7"/>
        <v>105</v>
      </c>
      <c r="P14" s="197">
        <f t="shared" si="7"/>
        <v>54</v>
      </c>
      <c r="Q14" s="197">
        <f t="shared" si="7"/>
        <v>153</v>
      </c>
      <c r="R14" s="197">
        <f t="shared" si="7"/>
        <v>1063</v>
      </c>
      <c r="S14" s="197">
        <f t="shared" si="7"/>
        <v>544</v>
      </c>
      <c r="T14" s="197">
        <f t="shared" si="7"/>
        <v>183</v>
      </c>
      <c r="U14" s="197">
        <f t="shared" si="7"/>
        <v>204</v>
      </c>
      <c r="V14" s="197">
        <f t="shared" si="7"/>
        <v>523</v>
      </c>
      <c r="W14" s="197">
        <f t="shared" si="7"/>
        <v>41</v>
      </c>
      <c r="X14" s="197">
        <f t="shared" si="7"/>
        <v>97</v>
      </c>
      <c r="Y14" s="197">
        <f t="shared" si="7"/>
        <v>16</v>
      </c>
      <c r="Z14" s="197">
        <f t="shared" si="7"/>
        <v>21</v>
      </c>
      <c r="AA14" s="197">
        <f t="shared" si="7"/>
        <v>9</v>
      </c>
      <c r="AB14" s="197">
        <f t="shared" si="7"/>
        <v>28</v>
      </c>
      <c r="AC14" s="197">
        <f t="shared" si="7"/>
        <v>0</v>
      </c>
      <c r="AD14" s="197">
        <f t="shared" si="7"/>
        <v>0</v>
      </c>
      <c r="AE14" s="197">
        <f t="shared" si="7"/>
        <v>0</v>
      </c>
      <c r="AF14" s="197">
        <f>SUBTOTAL(9,AF9:AF13)</f>
        <v>0</v>
      </c>
      <c r="AG14" s="197">
        <f t="shared" ref="AG14:AT14" si="8">SUBTOTAL(9,AG8:AG13)</f>
        <v>17</v>
      </c>
      <c r="AH14" s="197">
        <f t="shared" si="8"/>
        <v>20</v>
      </c>
      <c r="AI14" s="197">
        <f t="shared" si="8"/>
        <v>12</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561</v>
      </c>
      <c r="AZ14" s="197">
        <f>SUBTOTAL(9,AZ8:AZ13)</f>
        <v>203</v>
      </c>
      <c r="BA14" s="197">
        <f>SUBTOTAL(9,BA8:BA13)</f>
        <v>216</v>
      </c>
      <c r="BB14" s="197">
        <f>SUBTOTAL(9,BB8:BB13)</f>
        <v>548</v>
      </c>
      <c r="BC14" s="197">
        <f>SUBTOTAL(9,BC8:BC13)</f>
        <v>97</v>
      </c>
      <c r="BD14" s="219">
        <f>IF(ISNUMBER(BA14/AZ14),BA14/AZ14," - ")</f>
        <v>1.0640394088669951</v>
      </c>
      <c r="BE14" s="220">
        <f>IF(ISNUMBER(BB14/BA14),BB14/BA14, " - ")</f>
        <v>2.5370370370370372</v>
      </c>
      <c r="BF14" s="220">
        <f>IF(ISNUMBER(BC14/BA14),BC14/BA14, " - ")</f>
        <v>0.44907407407407407</v>
      </c>
      <c r="BG14" s="221">
        <f>IF(ISNUMBER((AY14+AZ14)/BA14),(AY14+AZ14)/BA14," - ")</f>
        <v>3.5370370370370372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240</v>
      </c>
      <c r="J17" s="196">
        <v>221</v>
      </c>
      <c r="K17" s="196">
        <v>257</v>
      </c>
      <c r="L17" s="196">
        <v>206</v>
      </c>
      <c r="M17" s="196">
        <v>25</v>
      </c>
      <c r="N17" s="196">
        <v>161</v>
      </c>
      <c r="O17" s="194">
        <v>3</v>
      </c>
      <c r="P17" s="196">
        <v>9</v>
      </c>
      <c r="Q17" s="196">
        <v>9</v>
      </c>
      <c r="R17" s="196">
        <v>37</v>
      </c>
      <c r="S17" s="196">
        <v>133</v>
      </c>
      <c r="T17" s="196">
        <v>143</v>
      </c>
      <c r="U17" s="196">
        <v>129</v>
      </c>
      <c r="V17" s="196">
        <v>151</v>
      </c>
      <c r="W17" s="196">
        <v>17</v>
      </c>
      <c r="X17" s="202">
        <v>93</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133</v>
      </c>
      <c r="AZ17" s="137">
        <f t="shared" si="10"/>
        <v>143</v>
      </c>
      <c r="BA17" s="137">
        <f t="shared" si="10"/>
        <v>129</v>
      </c>
      <c r="BB17" s="137">
        <f t="shared" si="10"/>
        <v>151</v>
      </c>
      <c r="BC17" s="135">
        <f>IF(ISNUMBER(W17),W17," - ")</f>
        <v>17</v>
      </c>
      <c r="BD17" s="136">
        <f t="shared" ref="BD17:BD22" si="12">IF(ISNUMBER(BA17/AZ17),BA17/AZ17," - ")</f>
        <v>0.90209790209790208</v>
      </c>
      <c r="BE17" s="137">
        <f t="shared" ref="BE17:BE22" si="13">IF(ISNUMBER(BB17/BA17),BB17/BA17, " - ")</f>
        <v>1.1705426356589148</v>
      </c>
      <c r="BF17" s="137">
        <f t="shared" ref="BF17:BF22" si="14">IF(ISNUMBER(BC17/BA17),BC17/BA17, " - ")</f>
        <v>0.13178294573643412</v>
      </c>
      <c r="BG17" s="209">
        <f t="shared" si="11"/>
        <v>2.13953488372093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16</v>
      </c>
      <c r="K18" s="196">
        <v>19</v>
      </c>
      <c r="L18" s="196">
        <v>13</v>
      </c>
      <c r="M18" s="196">
        <v>2</v>
      </c>
      <c r="N18" s="196">
        <v>11</v>
      </c>
      <c r="O18" s="196">
        <v>0</v>
      </c>
      <c r="P18" s="196">
        <v>0</v>
      </c>
      <c r="Q18" s="196">
        <v>0</v>
      </c>
      <c r="R18" s="196">
        <v>0</v>
      </c>
      <c r="S18" s="196">
        <v>21</v>
      </c>
      <c r="T18" s="196">
        <v>9</v>
      </c>
      <c r="U18" s="196">
        <v>11</v>
      </c>
      <c r="V18" s="196">
        <v>19</v>
      </c>
      <c r="W18" s="196">
        <v>1</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9</v>
      </c>
      <c r="BA18" s="139">
        <f t="shared" si="15"/>
        <v>11</v>
      </c>
      <c r="BB18" s="139">
        <f t="shared" si="15"/>
        <v>19</v>
      </c>
      <c r="BC18" s="135">
        <f>IF(ISNUMBER(W18),W18," - ")</f>
        <v>1</v>
      </c>
      <c r="BD18" s="136">
        <f>IF(ISNUMBER(BA18/AZ18),BA18/AZ18," - ")</f>
        <v>1.2222222222222223</v>
      </c>
      <c r="BE18" s="137">
        <f>IF(ISNUMBER(BB18/BA18),BB18/BA18, " - ")</f>
        <v>1.7272727272727273</v>
      </c>
      <c r="BF18" s="137">
        <f>IF(ISNUMBER(BC18/BA18),BC18/BA18, " - ")</f>
        <v>9.0909090909090912E-2</v>
      </c>
      <c r="BG18" s="209">
        <f>IF(ISNUMBER((AY18+AZ18)/BA18),(AY18+AZ18)/BA18," - ")</f>
        <v>2.7272727272727271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256</v>
      </c>
      <c r="J23" s="197">
        <f t="shared" si="21"/>
        <v>237</v>
      </c>
      <c r="K23" s="197">
        <f t="shared" si="21"/>
        <v>276</v>
      </c>
      <c r="L23" s="197">
        <f t="shared" si="21"/>
        <v>219</v>
      </c>
      <c r="M23" s="197">
        <f t="shared" si="21"/>
        <v>27</v>
      </c>
      <c r="N23" s="197">
        <f t="shared" si="21"/>
        <v>172</v>
      </c>
      <c r="O23" s="197">
        <f t="shared" si="21"/>
        <v>3</v>
      </c>
      <c r="P23" s="197">
        <f t="shared" si="21"/>
        <v>9</v>
      </c>
      <c r="Q23" s="197">
        <f t="shared" si="21"/>
        <v>9</v>
      </c>
      <c r="R23" s="197">
        <f t="shared" si="21"/>
        <v>37</v>
      </c>
      <c r="S23" s="197">
        <f t="shared" si="21"/>
        <v>154</v>
      </c>
      <c r="T23" s="197">
        <f t="shared" si="21"/>
        <v>152</v>
      </c>
      <c r="U23" s="197">
        <f t="shared" si="21"/>
        <v>140</v>
      </c>
      <c r="V23" s="197">
        <f t="shared" si="21"/>
        <v>170</v>
      </c>
      <c r="W23" s="197">
        <f t="shared" si="21"/>
        <v>18</v>
      </c>
      <c r="X23" s="197">
        <f t="shared" si="21"/>
        <v>102</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154</v>
      </c>
      <c r="AZ23" s="197">
        <f>SUBTOTAL(9,AZ15:AZ22)</f>
        <v>152</v>
      </c>
      <c r="BA23" s="197">
        <f>SUBTOTAL(9,BA15:BA22)</f>
        <v>140</v>
      </c>
      <c r="BB23" s="197">
        <f>SUBTOTAL(9,BB15:BB22)</f>
        <v>170</v>
      </c>
      <c r="BC23" s="197">
        <f>SUBTOTAL(9,BC15:BC22)</f>
        <v>18</v>
      </c>
      <c r="BD23" s="219">
        <f>IF(ISNUMBER(BA23/AZ23),BA23/AZ23," - ")</f>
        <v>0.92105263157894735</v>
      </c>
      <c r="BE23" s="220">
        <f>IF(ISNUMBER(BB23/BA23),BB23/BA23, " - ")</f>
        <v>1.2142857142857142</v>
      </c>
      <c r="BF23" s="220">
        <f>IF(ISNUMBER(BC23/BA23),BC23/BA23, " - ")</f>
        <v>0.12857142857142856</v>
      </c>
      <c r="BG23" s="221">
        <f>IF(ISNUMBER((AY23+AZ23)/BA23),(AY23+AZ23)/BA23," - ")</f>
        <v>2.1857142857142855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706</v>
      </c>
      <c r="J31" s="144">
        <f t="shared" si="36"/>
        <v>466</v>
      </c>
      <c r="K31" s="144">
        <f t="shared" si="36"/>
        <v>474</v>
      </c>
      <c r="L31" s="144">
        <f t="shared" si="36"/>
        <v>701</v>
      </c>
      <c r="M31" s="144">
        <f t="shared" si="36"/>
        <v>78</v>
      </c>
      <c r="N31" s="144">
        <f t="shared" si="36"/>
        <v>257</v>
      </c>
      <c r="O31" s="144">
        <f t="shared" si="36"/>
        <v>108</v>
      </c>
      <c r="P31" s="144">
        <f t="shared" si="36"/>
        <v>63</v>
      </c>
      <c r="Q31" s="144">
        <f t="shared" si="36"/>
        <v>162</v>
      </c>
      <c r="R31" s="144">
        <f t="shared" si="36"/>
        <v>1100</v>
      </c>
      <c r="S31" s="144">
        <f t="shared" si="36"/>
        <v>698</v>
      </c>
      <c r="T31" s="144">
        <f t="shared" si="36"/>
        <v>335</v>
      </c>
      <c r="U31" s="144">
        <f t="shared" si="36"/>
        <v>344</v>
      </c>
      <c r="V31" s="144">
        <f t="shared" si="36"/>
        <v>693</v>
      </c>
      <c r="W31" s="144">
        <f t="shared" si="36"/>
        <v>59</v>
      </c>
      <c r="X31" s="144">
        <f t="shared" si="36"/>
        <v>199</v>
      </c>
      <c r="Y31" s="144">
        <f t="shared" si="36"/>
        <v>16</v>
      </c>
      <c r="Z31" s="144">
        <f t="shared" si="36"/>
        <v>21</v>
      </c>
      <c r="AA31" s="144">
        <f t="shared" si="36"/>
        <v>9</v>
      </c>
      <c r="AB31" s="144">
        <f t="shared" si="36"/>
        <v>28</v>
      </c>
      <c r="AC31" s="144">
        <f t="shared" si="36"/>
        <v>1</v>
      </c>
      <c r="AD31" s="144">
        <f t="shared" si="36"/>
        <v>0</v>
      </c>
      <c r="AE31" s="144">
        <f t="shared" si="36"/>
        <v>1</v>
      </c>
      <c r="AF31" s="144">
        <f t="shared" si="36"/>
        <v>0</v>
      </c>
      <c r="AG31" s="144">
        <f t="shared" si="36"/>
        <v>17</v>
      </c>
      <c r="AH31" s="144">
        <f t="shared" si="36"/>
        <v>20</v>
      </c>
      <c r="AI31" s="144">
        <f t="shared" si="36"/>
        <v>12</v>
      </c>
      <c r="AJ31" s="144">
        <f t="shared" si="36"/>
        <v>25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715</v>
      </c>
      <c r="AZ31" s="144">
        <f>SUBTOTAL(9,AZ9:AZ30)</f>
        <v>355</v>
      </c>
      <c r="BA31" s="144">
        <f>SUBTOTAL(9,BA9:BA30)</f>
        <v>356</v>
      </c>
      <c r="BB31" s="144">
        <f>SUBTOTAL(9,BB9:BB30)</f>
        <v>718</v>
      </c>
      <c r="BC31" s="145">
        <f>SUBTOTAL(9,BC9:BC30)</f>
        <v>115</v>
      </c>
      <c r="BD31" s="227">
        <f>IF(ISNUMBER(BA31/AZ31),BA31/AZ31," - ")</f>
        <v>1.0028169014084507</v>
      </c>
      <c r="BE31" s="224">
        <f>IF(ISNUMBER(BB31/BA31),BB31/BA31, " - ")</f>
        <v>2.0168539325842696</v>
      </c>
      <c r="BF31" s="224">
        <f>IF(ISNUMBER(BC31/BA31),BC31/BA31, " - ")</f>
        <v>0.32303370786516855</v>
      </c>
      <c r="BG31" s="145">
        <f>IF(ISNUMBER((AY31+AZ31)/BA31),(AY31+AZ31)/BA31," - ")</f>
        <v>3.00561797752809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c9NDvFU0m9UZnphQGkSC610SJjWfUf8ZFdTAA+XVcvgIr35xkmAvU6zVycAVIcBPYZFFtcb7G6SuTEiBTajQ==" saltValue="lvgepdXLpU7Ou7527eXv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s/Tg2K3jpO4UQvJikTSSmRZ1OyVHB4MPhE7emy1YXfHsowl24llCsnIbvuRWVSfZJIjgPIcPrlVpDs8Wou5w==" saltValue="l0JmWRwztDALRj9ORrjV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1062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0.83739837398373984</v>
      </c>
      <c r="BH12" s="764">
        <f>IF(ISNUMBER(((IF(J_V="SI",Datos!L12/Datos!K12,(Datos!L12+Datos!AB12)/(Datos!K12+Datos!AA12)))*11)/factor_trimestre),((IF(J_V="SI",Datos!L12/Datos!K12,(Datos!L12+Datos!AB12)/(Datos!K12+Datos!AA12)))*11)/factor_trimestre," - ")</f>
        <v>4.9029126213592233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-8.6058519793459548E-2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153</v>
      </c>
      <c r="AD14" s="1198">
        <f t="shared" si="2"/>
        <v>0</v>
      </c>
      <c r="AE14" s="1198">
        <f t="shared" si="2"/>
        <v>0</v>
      </c>
      <c r="AF14" s="1198">
        <f t="shared" si="2"/>
        <v>5</v>
      </c>
      <c r="AG14" s="1198">
        <f t="shared" si="2"/>
        <v>0</v>
      </c>
      <c r="AH14" s="1198">
        <f t="shared" si="2"/>
        <v>28</v>
      </c>
      <c r="AI14" s="1198">
        <f t="shared" si="2"/>
        <v>0</v>
      </c>
      <c r="AJ14" s="1198">
        <f t="shared" si="2"/>
        <v>0</v>
      </c>
      <c r="AK14" s="1198">
        <f t="shared" si="2"/>
        <v>0</v>
      </c>
      <c r="AL14" s="1198">
        <f t="shared" si="2"/>
        <v>0</v>
      </c>
      <c r="AM14" s="1198">
        <f t="shared" si="2"/>
        <v>1063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85</v>
      </c>
      <c r="BE14" s="1198">
        <f t="shared" si="2"/>
        <v>0</v>
      </c>
      <c r="BF14" s="1198">
        <f t="shared" si="2"/>
        <v>0</v>
      </c>
      <c r="BG14" s="1198">
        <f>IF(ISNUMBER(Datos!K14/Datos!J14),Datos!K14/Datos!J14," - ")</f>
        <v>0.86462882096069871</v>
      </c>
      <c r="BH14" s="1202">
        <f>IF(ISNUMBER(((Datos!L14/Datos!K14)*11)/factor_trimestre),((Datos!L14/Datos!K14)*11)/factor_trimestre," - ")</f>
        <v>4.8686868686868685</v>
      </c>
      <c r="BI14" s="1198">
        <f>IF(ISNUMBER('Resol  Asuntos'!D14/NºAsuntos!G14),'Resol  Asuntos'!D14/NºAsuntos!G14," - ")</f>
        <v>0.24637681159420291</v>
      </c>
      <c r="BJ14" s="1198" t="str">
        <f>IF(ISNUMBER(Datos!CI14/Datos!CJ14),Datos!CI14/Datos!CJ14," - ")</f>
        <v xml:space="preserve"> - </v>
      </c>
      <c r="BK14" s="1198">
        <f>SUBTOTAL(9,BK8:BK13)</f>
        <v>0</v>
      </c>
      <c r="BL14" s="1198">
        <f>IF(ISNUMBER((I14-AB14+L14)/(F14)),(I14-AB14+L14)/(F14)," - ")</f>
        <v>-0.5</v>
      </c>
      <c r="BM14" s="1203">
        <f>SUBTOTAL(9,BM9:BM13)</f>
        <v>-8.6058519793459548E-2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242</v>
      </c>
      <c r="G17" s="743">
        <f>IF(ISNUMBER(IF(D_I="SI",Datos!I17,Datos!I17+Datos!AC17)),IF(D_I="SI",Datos!I17,Datos!I17+Datos!AC17)," - ")</f>
        <v>240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257</v>
      </c>
      <c r="AC17" s="240">
        <f>IF(ISNUMBER(Datos!Q17),Datos!Q17," - ")</f>
        <v>9</v>
      </c>
      <c r="AD17" s="374"/>
      <c r="AE17" s="562"/>
      <c r="AF17" s="741">
        <f>IF(ISNUMBER(IF(D_I="SI",Datos!L17,Datos!L17+Datos!AF17)),IF(D_I="SI",Datos!L17,Datos!L17+Datos!AF17)," - ")</f>
        <v>206</v>
      </c>
      <c r="AG17" s="374"/>
      <c r="AH17" s="374"/>
      <c r="AI17" s="374"/>
      <c r="AJ17" s="549"/>
      <c r="AK17" s="374"/>
      <c r="AL17" s="545"/>
      <c r="AM17" s="375">
        <f>IF(ISNUMBER(Datos!R17),Datos!R17," - ")</f>
        <v>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161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1.16289592760181</v>
      </c>
      <c r="BH17" s="764">
        <f>IF(ISNUMBER(((IF(D_I="SI",Datos!L17/Datos!K17,(Datos!L17+Datos!AF17)/(Datos!K17+Datos!AE17)))*11)/factor_trimestre),((IF(D_I="SI",Datos!L17/Datos!K17,(Datos!L17+Datos!AF17)/(Datos!K17+Datos!AE17)))*11)/factor_trimestre," - ")</f>
        <v>1.6031128404669261</v>
      </c>
      <c r="BI17" s="266">
        <f>IF(ISNUMBER('Resol  Asuntos'!D17/NºAsuntos!G17),'Resol  Asuntos'!D17/NºAsuntos!G17," - ")</f>
        <v>9.727626459143969E-2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1.1875</v>
      </c>
      <c r="BH18" s="764">
        <f>IF(ISNUMBER(((IF(D_I="SI",Datos!L18/Datos!K18,(Datos!L18+Datos!AF18)/(Datos!K18+Datos!AE18)))*11)/factor_trimestre),((IF(D_I="SI",Datos!L18/Datos!K18,(Datos!L18+Datos!AF18)/(Datos!K18+Datos!AE18)))*11)/factor_trimestre," - ")</f>
        <v>1.368421052631579</v>
      </c>
      <c r="BI18" s="763">
        <f>IF(ISNUMBER('Resol  Asuntos'!D18/NºAsuntos!G18),'Resol  Asuntos'!D18/NºAsuntos!G18," - ")</f>
        <v>0.10526315789473684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242</v>
      </c>
      <c r="G23" s="1197">
        <f>SUBTOTAL(9,G16:G22)</f>
        <v>256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276</v>
      </c>
      <c r="AC23" s="1198">
        <f t="shared" si="5"/>
        <v>9</v>
      </c>
      <c r="AD23" s="1198">
        <f t="shared" si="5"/>
        <v>0</v>
      </c>
      <c r="AE23" s="1198">
        <f t="shared" si="5"/>
        <v>0</v>
      </c>
      <c r="AF23" s="1198">
        <f t="shared" si="5"/>
        <v>219</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172</v>
      </c>
      <c r="BE23" s="1198">
        <f t="shared" si="5"/>
        <v>0</v>
      </c>
      <c r="BF23" s="1198">
        <f t="shared" si="5"/>
        <v>0</v>
      </c>
      <c r="BG23" s="1198">
        <f>IF(ISNUMBER(Datos!K23/Datos!J23),Datos!K23/Datos!J23," - ")</f>
        <v>1.1645569620253164</v>
      </c>
      <c r="BH23" s="1202">
        <f>IF(ISNUMBER(((Datos!L23/Datos!K23)*11)/factor_trimestre),((Datos!L23/Datos!K23)*11)/factor_trimestre," - ")</f>
        <v>1.5869565217391304</v>
      </c>
      <c r="BI23" s="1198">
        <f>SUBTOTAL(9,BI16:BI22)</f>
        <v>0.20253942248617651</v>
      </c>
      <c r="BJ23" s="1198">
        <f>SUBTOTAL(9,BJ16:BJ22)</f>
        <v>0</v>
      </c>
      <c r="BK23" s="1198">
        <f>SUBTOTAL(9,BK16:BK22)</f>
        <v>0</v>
      </c>
      <c r="BL23" s="1198">
        <f>IF(ISNUMBER((I23-AB23+L23)/(F23)),(I23-AB23+L23)/(F23)," - ")</f>
        <v>-1.140495867768595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244</v>
      </c>
      <c r="G31" s="1117">
        <f t="shared" si="18"/>
        <v>258</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277</v>
      </c>
      <c r="AC31" s="1118">
        <f t="shared" si="19"/>
        <v>162</v>
      </c>
      <c r="AD31" s="1118">
        <f t="shared" si="19"/>
        <v>0</v>
      </c>
      <c r="AE31" s="1118">
        <f t="shared" si="19"/>
        <v>0</v>
      </c>
      <c r="AF31" s="1125">
        <f t="shared" si="19"/>
        <v>224</v>
      </c>
      <c r="AG31" s="1125">
        <f t="shared" si="19"/>
        <v>0</v>
      </c>
      <c r="AH31" s="1125">
        <f t="shared" si="19"/>
        <v>28</v>
      </c>
      <c r="AI31" s="1125">
        <f t="shared" si="19"/>
        <v>0</v>
      </c>
      <c r="AJ31" s="1118">
        <f t="shared" si="19"/>
        <v>0</v>
      </c>
      <c r="AK31" s="1125">
        <f t="shared" si="19"/>
        <v>0</v>
      </c>
      <c r="AL31" s="1125">
        <f t="shared" si="19"/>
        <v>0</v>
      </c>
      <c r="AM31" s="1125">
        <f t="shared" si="19"/>
        <v>1100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v>
      </c>
      <c r="BD31" s="1117">
        <f t="shared" si="19"/>
        <v>257</v>
      </c>
      <c r="BE31" s="1117">
        <f t="shared" si="19"/>
        <v>0</v>
      </c>
      <c r="BF31" s="1127">
        <f t="shared" si="19"/>
        <v>0</v>
      </c>
      <c r="BG31" s="1223">
        <f>IF(ISNUMBER(Datos!K31/Datos!J31),Datos!K31/Datos!J31," - ")</f>
        <v>1.0171673819742488</v>
      </c>
      <c r="BH31" s="1223">
        <f>IF(ISNUMBER(((Datos!L31/Datos!K31)*11)/factor_trimestre),((Datos!L31/Datos!K31)*11)/factor_trimestre," - ")</f>
        <v>2.9578059071729963</v>
      </c>
      <c r="BI31" s="1103">
        <f>IF(ISNUMBER(Datos!J31/Datos!I31),Datos!J31/Datos!I31," - ")</f>
        <v>0.66005665722379603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-1.1352459016393444</v>
      </c>
      <c r="BM31" s="1188">
        <f>IF(ISNUMBER((Datos!P31-Datos!Q31+R31)/(Datos!R31-Datos!P31+Datos!Q31-R31)),(Datos!P31-Datos!Q31+R31)/(Datos!R31-Datos!P31+Datos!Q31-R31)," - ")</f>
        <v>-8.2568807339449546E-2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124.45507891069239</v>
      </c>
      <c r="G33" s="674">
        <f>IF(ISNUMBER(STDEV(G8:G30)),STDEV(G8:G30),"-")</f>
        <v>119.27798663306694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128.2853961179637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22.097187927103175</v>
      </c>
      <c r="BD33" s="673"/>
      <c r="BE33" s="673">
        <f>IF(ISNUMBER(STDEV(BE8:BE30)),STDEV(BE8:BE30),"-")</f>
        <v>0</v>
      </c>
      <c r="BF33" s="678">
        <f>IF(ISNUMBER(STDEV(BF8:BF30)),STDEV(BF8:BF30),"-")</f>
        <v>0</v>
      </c>
      <c r="BG33" s="1052">
        <f>IF(ISNUMBER(STDEV(BG8:BG30)),STDEV(BG8:BG30),"-")</f>
        <v>0.36018974633859896</v>
      </c>
      <c r="BH33" s="1058">
        <f>IF(ISNUMBER(STDEV(BH8:BH30)),STDEV(BH8:BH30),"-")</f>
        <v>3.3479773842276455</v>
      </c>
      <c r="BI33" s="273">
        <f>IF(ISNUMBER(STDEV(BI8:BI30)),STDEV(BI8:BI30),"-")</f>
        <v>7.3412389728743352E-2</v>
      </c>
      <c r="BJ33" s="244" t="str">
        <f>IF(ISNUMBER(BL33/BM33),BL33/BM33," - ")</f>
        <v xml:space="preserve"> - </v>
      </c>
      <c r="BK33" s="709"/>
      <c r="BL33" s="681">
        <f>IF(ISNUMBER(STDEV(BL8:BL30)),STDEV(BL8:BL30),"-")</f>
        <v>0.45289897142113583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nTrbmq8ATTf0N6xOc1Ktk2+mJCbiBzDBciKsqF0xl38qTQKHvw8G/ylQOcCdSENkuKkldkdp3NA3Uxctm083g==" saltValue="SSc301uA5eERSJB3oygh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153</v>
      </c>
      <c r="AA12" s="551" t="str">
        <f>IF(ISNUMBER(IF(J_V="SI",Datos!L12,Datos!L12+Datos!AB12)-IF(Monitorios="SI",Datos!CD12,0)),
                          IF(J_V="SI",Datos!L12,Datos!L12+Datos!AB12)-IF(Monitorios="SI",Datos!CD12,0),
                          " - ")</f>
        <v xml:space="preserve"> - </v>
      </c>
      <c r="AB12" s="549"/>
      <c r="AC12" s="549"/>
      <c r="AD12" s="563"/>
      <c r="AE12" s="563">
        <f>IF(ISNUMBER(Datos!R12),Datos!R12," - ")</f>
        <v>1062</v>
      </c>
      <c r="AF12" s="693" t="str">
        <f>IF(ISNUMBER(Datos!BV12),Datos!BV12," - ")</f>
        <v xml:space="preserve"> - </v>
      </c>
      <c r="AG12" s="552" t="str">
        <f>IF(ISNUMBER(Datos!DV12),Datos!DV12," - ")</f>
        <v xml:space="preserve"> - </v>
      </c>
      <c r="AH12" s="553"/>
      <c r="AI12" s="554"/>
      <c r="AJ12" s="552">
        <f>IF(ISNUMBER(Datos!M12),Datos!M12," - ")</f>
        <v>50</v>
      </c>
      <c r="AK12" s="693">
        <f>IF(ISNUMBER(Datos!N12),Datos!N12," - ")</f>
        <v>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4.9029126213592233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-8.6058519793459548E-2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153</v>
      </c>
      <c r="AA14" s="1199">
        <f t="shared" si="3"/>
        <v>5</v>
      </c>
      <c r="AB14" s="1199">
        <f t="shared" si="3"/>
        <v>0</v>
      </c>
      <c r="AC14" s="1199">
        <f t="shared" si="3"/>
        <v>0</v>
      </c>
      <c r="AD14" s="1199">
        <f t="shared" si="3"/>
        <v>0</v>
      </c>
      <c r="AE14" s="1199">
        <f t="shared" si="3"/>
        <v>1063</v>
      </c>
      <c r="AF14" s="1211">
        <f t="shared" si="3"/>
        <v>0</v>
      </c>
      <c r="AG14" s="1211">
        <f t="shared" si="3"/>
        <v>0</v>
      </c>
      <c r="AH14" s="1211">
        <f t="shared" si="3"/>
        <v>0</v>
      </c>
      <c r="AI14" s="1211">
        <f t="shared" si="3"/>
        <v>0</v>
      </c>
      <c r="AJ14" s="1211">
        <f t="shared" si="3"/>
        <v>51</v>
      </c>
      <c r="AK14" s="1211">
        <f t="shared" si="3"/>
        <v>85</v>
      </c>
      <c r="AL14" s="1211">
        <f t="shared" si="3"/>
        <v>0</v>
      </c>
      <c r="AM14" s="1211">
        <f t="shared" si="3"/>
        <v>0</v>
      </c>
      <c r="AN14" s="1211">
        <f t="shared" si="3"/>
        <v>0</v>
      </c>
      <c r="AO14" s="1203">
        <f>IF(ISNUMBER(((NºAsuntos!I14/NºAsuntos!G14)*11)/factor_trimestre),((NºAsuntos!I14/NºAsuntos!G14)*11)/factor_trimestre," - ")</f>
        <v>4.9275362318840576</v>
      </c>
      <c r="AP14" s="1213" t="str">
        <f>IF(ISNUMBER(Datos!CI14/Datos!CJ14),Datos!CI14/Datos!CJ14," - ")</f>
        <v xml:space="preserve"> - </v>
      </c>
      <c r="AQ14" s="1236">
        <f t="shared" ref="AQ14:AV14" si="4">SUBTOTAL(9,AQ9:AQ13)</f>
        <v>0</v>
      </c>
      <c r="AR14" s="1236">
        <f t="shared" si="4"/>
        <v>-8.6058519793459548E-2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242</v>
      </c>
      <c r="G17" s="552">
        <f>IF(ISNUMBER(IF(D_I="SI",Datos!I17,Datos!I17+Datos!AC17)),IF(D_I="SI",Datos!I17,Datos!I17+Datos!AC17)," - ")</f>
        <v>240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257</v>
      </c>
      <c r="Z17" s="805">
        <f>IF(ISNUMBER(Datos!Q17),Datos!Q17," - ")</f>
        <v>9</v>
      </c>
      <c r="AA17" s="551">
        <f>IF(ISNUMBER(IF(D_I="SI",Datos!L17,Datos!L17+Datos!AF17)),IF(D_I="SI",Datos!L17,Datos!L17+Datos!AF17)," - ")</f>
        <v>206</v>
      </c>
      <c r="AB17" s="549"/>
      <c r="AC17" s="549"/>
      <c r="AD17" s="563"/>
      <c r="AE17" s="563">
        <f>IF(ISNUMBER(Datos!R17),Datos!R17," - ")</f>
        <v>37</v>
      </c>
      <c r="AF17" s="693" t="str">
        <f>IF(ISNUMBER(Datos!BV17),Datos!BV17," - ")</f>
        <v xml:space="preserve"> - </v>
      </c>
      <c r="AG17" s="552"/>
      <c r="AH17" s="553"/>
      <c r="AI17" s="554"/>
      <c r="AJ17" s="552">
        <f>IF(ISNUMBER(Datos!M17),Datos!M17," - ")</f>
        <v>25</v>
      </c>
      <c r="AK17" s="693">
        <f>IF(ISNUMBER(Datos!N17),Datos!N17," - ")</f>
        <v>161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1.6031128404669261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1.368421052631579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242</v>
      </c>
      <c r="G23" s="1197">
        <f>SUBTOTAL(9,G16:G22)</f>
        <v>256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276</v>
      </c>
      <c r="Z23" s="1240">
        <f t="shared" si="6"/>
        <v>9</v>
      </c>
      <c r="AA23" s="1240">
        <f t="shared" si="6"/>
        <v>219</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27</v>
      </c>
      <c r="AK23" s="1240">
        <f t="shared" si="6"/>
        <v>172</v>
      </c>
      <c r="AL23" s="1240">
        <f t="shared" si="6"/>
        <v>0</v>
      </c>
      <c r="AM23" s="1240">
        <f t="shared" si="6"/>
        <v>0</v>
      </c>
      <c r="AN23" s="1240">
        <f t="shared" si="6"/>
        <v>0</v>
      </c>
      <c r="AO23" s="1242">
        <f>IF(ISNUMBER(((NºAsuntos!I23/NºAsuntos!G23)*11)/factor_trimestre),((NºAsuntos!I23/NºAsuntos!G23)*11)/factor_trimestre," - ")</f>
        <v>1.5869565217391304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244</v>
      </c>
      <c r="G31" s="1117">
        <f t="shared" si="12"/>
        <v>258</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277</v>
      </c>
      <c r="Z31" s="1124">
        <f t="shared" si="13"/>
        <v>162</v>
      </c>
      <c r="AA31" s="1125">
        <f t="shared" si="13"/>
        <v>224</v>
      </c>
      <c r="AB31" s="1125">
        <f t="shared" si="13"/>
        <v>0</v>
      </c>
      <c r="AC31" s="1125">
        <f t="shared" si="13"/>
        <v>0</v>
      </c>
      <c r="AD31" s="1126">
        <f t="shared" si="13"/>
        <v>0</v>
      </c>
      <c r="AE31" s="1126">
        <f t="shared" si="13"/>
        <v>1100</v>
      </c>
      <c r="AF31" s="1127">
        <f t="shared" si="13"/>
        <v>0</v>
      </c>
      <c r="AG31" s="1128">
        <f t="shared" si="13"/>
        <v>0</v>
      </c>
      <c r="AH31" s="1129">
        <f t="shared" si="13"/>
        <v>0</v>
      </c>
      <c r="AI31" s="1127">
        <f t="shared" si="13"/>
        <v>0</v>
      </c>
      <c r="AJ31" s="1117">
        <f t="shared" si="13"/>
        <v>78</v>
      </c>
      <c r="AK31" s="1117">
        <f t="shared" si="13"/>
        <v>257</v>
      </c>
      <c r="AL31" s="1117">
        <f t="shared" si="13"/>
        <v>0</v>
      </c>
      <c r="AM31" s="1130">
        <f t="shared" si="13"/>
        <v>0</v>
      </c>
      <c r="AN31" s="1120">
        <f>IF(ISNUMBER(Datos!K31/Datos!J31),Datos!K31/Datos!J31," - ")</f>
        <v>1.0171673819742488</v>
      </c>
      <c r="AO31" s="1120">
        <f>IF(ISNUMBER(FIND("06",Criterios!A8,1)),(IF(ISNUMBER(((Datos!R31/Datos!Q31)*11)/factor_trimestre),((Datos!R31/Datos!Q31)*11)/factor_trimestre," - ")),(IF(ISNUMBER(((Datos!L31/Datos!K31)*11)/factor_trimestre),((Datos!L31/Datos!K31)*11)/factor_trimestre," - ")))</f>
        <v>2.9578059071729963</v>
      </c>
      <c r="AP31" s="1131" t="str">
        <f>IF(ISNUMBER(Datos!CI31/Datos!CJ31),Datos!CI31/Datos!CJ31," - ")</f>
        <v xml:space="preserve"> - </v>
      </c>
      <c r="AQ31" s="1131">
        <f>IF(OR(ISNUMBER(FIND("01",Criterios!A8,1)),ISNUMBER(FIND("02",Criterios!A8,1)),ISNUMBER(FIND("03",Criterios!A8,1)),ISNUMBER(FIND("04",Criterios!A8,1))),(J31-Y31+K31)/(F31-K31),(I31-Y31+K31)/(F31-K31))</f>
        <v>-1.1352459016393444</v>
      </c>
      <c r="AR31" s="1131">
        <f>IF(ISNUMBER((Datos!P31-Datos!Q31+O31)/(Datos!R31-Datos!P31+Datos!Q31-O31)),(Datos!P31-Datos!Q31+O31)/(Datos!R31-Datos!P31+Datos!Q31-O31)," - ")</f>
        <v>-8.2568807339449546E-2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124.45507891069239</v>
      </c>
      <c r="G33" s="674">
        <f>IF(ISNUMBER(STDEV(G8:G30)),STDEV(G8:G30),"-")</f>
        <v>119.27798663306694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22.097187927103175</v>
      </c>
      <c r="AK33" s="276"/>
      <c r="AL33" s="276">
        <f>IF(ISNUMBER(STDEV(AL8:AL30)),STDEV(AL8:AL30),"-")</f>
        <v>0</v>
      </c>
      <c r="AM33" s="278">
        <f>IF(ISNUMBER(STDEV(AM8:AM30)),STDEV(AM8:AM30),"-")</f>
        <v>0</v>
      </c>
      <c r="AN33" s="660">
        <f>IF(ISNUMBER(STDEV(AN8:AN30)),STDEV(AN8:AN30),"-")</f>
        <v>0</v>
      </c>
      <c r="AO33" s="661">
        <f>IF(ISNUMBER(STDEV(AO8:AO30)),STDEV(AO8:AO30),"-")</f>
        <v>3.3509227687500069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rUaIoBF7TIYkjN/hgOb+O4WF5e/GG0O0yklaxCVFhynNc7o3+eUa1najMkppdND1PpFhXh3GkIYd4+x2570RA==" saltValue="LXX44so7Tj0glbgCXeXT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aKFPVI4y39VSE1/Cj5TuWh2eJ32hAYqtJuxn5xWOB0R214t+kqO5F8gRoaGtpmrRJ0vADvbv2sCG9bP1pcu6A==" saltValue="PpXRrmy4++cMBp5RHi3f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rHRQ/Qhezw8vZYhh3f2I9mNP7oo9p6TJXerzZRYWtMLCIQFuzI4D2asQG0Hc0jXSjZojhx441AclfcZr7SMg==" saltValue="c7pjkuQJDCGz8yjDm7L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0.24637681159420291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0.17421471420538129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EqYEiVshhysUUq/rDCBsnPydmmONaQUGQu2f+Pyni6R71ErIFzfp7rEtt4q1mv0BhPBPdoxi4OVEXMHwV/Gmg==" saltValue="ZGhSet193DZmg6vYRprb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y06pDgWOk1/xG1gYkAysvAP8S0ByTUJypGTZWx5YIFGXHaCp0UzCpUowZ9gRE7e3W055Gcti1k2xEpglBUSVg==" saltValue="klYJnNjZPAwK8SdYZT2o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4</v>
      </c>
      <c r="F10" s="452">
        <f>IF(ISNUMBER(E10/B10),E10/B10," - ")</f>
        <v>4</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464</v>
      </c>
      <c r="D12" s="452">
        <f>IF(ISNUMBER(C12/Datos!BH12),C12/Datos!BH12," - ")</f>
        <v>232</v>
      </c>
      <c r="E12" s="451">
        <f>IF(ISNUMBER(IF(J_V="SI",Datos!J12,Datos!J12+Datos!Z12)),IF(J_V="SI",Datos!J12,Datos!J12+Datos!Z12)," - ")</f>
        <v>246</v>
      </c>
      <c r="F12" s="452">
        <f>IF(ISNUMBER(E12/B12),E12/B12," - ")</f>
        <v>123</v>
      </c>
      <c r="G12" s="451">
        <f>IF(ISNUMBER(IF(J_V="SI",Datos!K12,Datos!K12+Datos!AA12)),IF(J_V="SI",Datos!K12,Datos!K12+Datos!AA12)," - ")</f>
        <v>206</v>
      </c>
      <c r="H12" s="452">
        <f>IF(ISNUMBER(G12/B12),G12/B12," - ")</f>
        <v>103</v>
      </c>
      <c r="I12" s="451">
        <f>IF(ISNUMBER(IF(J_V="SI",Datos!L12,Datos!L12+Datos!AB12)),IF(J_V="SI",Datos!L12,Datos!L12+Datos!AB12)," - ")</f>
        <v>505</v>
      </c>
      <c r="J12" s="452">
        <f>IF(ISNUMBER(I12/B12),I12/B12," - ")</f>
        <v>252.5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466</v>
      </c>
      <c r="D14" s="1147" t="str">
        <f>IF(ISNUMBER(C14/Datos!BI14),C14/Datos!BI14," - ")</f>
        <v xml:space="preserve"> - </v>
      </c>
      <c r="E14" s="1146">
        <f>SUBTOTAL(9,E8:E13)</f>
        <v>250</v>
      </c>
      <c r="F14" s="1147">
        <f>IF(ISNUMBER(E14/B14),E14/B14," - ")</f>
        <v>125</v>
      </c>
      <c r="G14" s="1146">
        <f>SUBTOTAL(9,G8:G13)</f>
        <v>207</v>
      </c>
      <c r="H14" s="1147">
        <f>IF(ISNUMBER(G14/B14),G14/B14," - ")</f>
        <v>103.5</v>
      </c>
      <c r="I14" s="1146">
        <f>SUBTOTAL(9,I8:I13)</f>
        <v>510</v>
      </c>
      <c r="J14" s="1147">
        <f>IF(ISNUMBER(I14/B14),I14/B14," - ")</f>
        <v>255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240</v>
      </c>
      <c r="D17" s="452">
        <f>IF(ISNUMBER(C17/Datos!BH17),C17/Datos!BH17," - ")</f>
        <v>120</v>
      </c>
      <c r="E17" s="451">
        <f>IF(ISNUMBER(IF(D_I="SI",Datos!J17,Datos!J17+Datos!AD17)),IF(D_I="SI",Datos!J17,Datos!J17+Datos!AD17)," - ")</f>
        <v>221</v>
      </c>
      <c r="F17" s="452">
        <f>IF(ISNUMBER(E17/B17),E17/B17," - ")</f>
        <v>110.5</v>
      </c>
      <c r="G17" s="451">
        <f>IF(ISNUMBER(IF(D_I="SI",Datos!K17,Datos!K17+Datos!AE17)),IF(D_I="SI",Datos!K17,Datos!K17+Datos!AE17)," - ")</f>
        <v>257</v>
      </c>
      <c r="H17" s="452">
        <f>IF(ISNUMBER(G17/B17),G17/B17," - ")</f>
        <v>128.5</v>
      </c>
      <c r="I17" s="451">
        <f>IF(ISNUMBER(IF(D_I="SI",Datos!L17,Datos!L17+Datos!AF17)),IF(D_I="SI",Datos!L17,Datos!L17+Datos!AF17)," - ")</f>
        <v>206</v>
      </c>
      <c r="J17" s="452">
        <f>IF(ISNUMBER(I17/B17),I17/B17," - ")</f>
        <v>103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16</v>
      </c>
      <c r="F18" s="452">
        <f>IF(ISNUMBER(E18/B18),E18/B18," - ")</f>
        <v>16</v>
      </c>
      <c r="G18" s="451">
        <f>IF(ISNUMBER(IF(D_I="SI",Datos!K18,Datos!K18+Datos!AE18)),IF(D_I="SI",Datos!K18,Datos!K18+Datos!AE18)," - ")</f>
        <v>19</v>
      </c>
      <c r="H18" s="452">
        <f>IF(ISNUMBER(G18/B18),G18/B18," - ")</f>
        <v>19</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256</v>
      </c>
      <c r="D23" s="1147" t="str">
        <f>IF(ISNUMBER(C23/Datos!BI23),C23/Datos!BI23," - ")</f>
        <v xml:space="preserve"> - </v>
      </c>
      <c r="E23" s="1146">
        <f>SUBTOTAL(9,E15:E22)</f>
        <v>237</v>
      </c>
      <c r="F23" s="1147">
        <f>IF(ISNUMBER(E23/B23),E23/B23," - ")</f>
        <v>118.5</v>
      </c>
      <c r="G23" s="1146">
        <f>SUBTOTAL(9,G15:G22)</f>
        <v>276</v>
      </c>
      <c r="H23" s="1147">
        <f>IF(ISNUMBER(G23/B23),G23/B23," - ")</f>
        <v>138</v>
      </c>
      <c r="I23" s="1146">
        <f>SUBTOTAL(9,I15:I22)</f>
        <v>219</v>
      </c>
      <c r="J23" s="1147">
        <f>IF(ISNUMBER(I23/B23),I23/B23," - ")</f>
        <v>109.5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722</v>
      </c>
      <c r="D31" s="1085" t="str">
        <f>IF(ISNUMBER(C31/Datos!BI31),C31/Datos!BI31," - ")</f>
        <v xml:space="preserve"> - </v>
      </c>
      <c r="E31" s="1084">
        <f>SUBTOTAL(9,E9:E30)</f>
        <v>487</v>
      </c>
      <c r="F31" s="1085">
        <f>IF(ISNUMBER(E31/B31),E31/B31," - ")</f>
        <v>243.5</v>
      </c>
      <c r="G31" s="1084">
        <f>SUBTOTAL(9,G9:G30)</f>
        <v>483</v>
      </c>
      <c r="H31" s="1085">
        <f>IF(ISNUMBER(G31/B31),G31/B31," - ")</f>
        <v>241.5</v>
      </c>
      <c r="I31" s="1084">
        <f>SUBTOTAL(9,I9:I30)</f>
        <v>729</v>
      </c>
      <c r="J31" s="1085">
        <f>IF(ISNUMBER(I31/B31),I31/B31," - ")</f>
        <v>364.5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xm7tfaVBP0ZvotITylwMk+OIOKLa+6SlF6xhvEBtDx+FlQ4lNoScYL0NakF7riuCnQ0TR0DXT2LQAztTkKfBA==" saltValue="6twi0E2Eo5klsD6S4xMQ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4.9029126213592233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-8.6058519793459548E-2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153</v>
      </c>
      <c r="AE14" s="1257">
        <f t="shared" si="1"/>
        <v>0</v>
      </c>
      <c r="AF14" s="1257">
        <f t="shared" si="1"/>
        <v>5</v>
      </c>
      <c r="AG14" s="1257">
        <f t="shared" si="1"/>
        <v>0</v>
      </c>
      <c r="AH14" s="1257">
        <f t="shared" si="1"/>
        <v>1062</v>
      </c>
      <c r="AI14" s="1257">
        <f t="shared" si="1"/>
        <v>0</v>
      </c>
      <c r="AJ14" s="1257">
        <f t="shared" si="1"/>
        <v>0</v>
      </c>
      <c r="AK14" s="1257">
        <f t="shared" si="1"/>
        <v>0</v>
      </c>
      <c r="AL14" s="1257">
        <f t="shared" si="1"/>
        <v>51</v>
      </c>
      <c r="AM14" s="1257">
        <f t="shared" si="1"/>
        <v>85</v>
      </c>
      <c r="AN14" s="1257">
        <f t="shared" si="1"/>
        <v>0</v>
      </c>
      <c r="AO14" s="1257">
        <f t="shared" si="1"/>
        <v>0</v>
      </c>
      <c r="AP14" s="1262">
        <f>IF(ISNUMBER(((Datos!L14/Datos!K14)*11)/factor_trimestre),((Datos!L14/Datos!K14)*11)/factor_trimestre," - ")</f>
        <v>4.8686868686868685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-8.6058519793459548E-2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1.5869565217391304</v>
      </c>
      <c r="AQ23" s="1262">
        <f>IF(ISNUMBER(((Datos!M23/Datos!L23)*11)/factor_trimestre),((Datos!M23/Datos!L23)*11)/factor_trimestre," - ")</f>
        <v>0.24657534246575341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-0.15384615384615385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153</v>
      </c>
      <c r="AE31" s="1284">
        <f t="shared" si="9"/>
        <v>0</v>
      </c>
      <c r="AF31" s="1285">
        <f t="shared" si="9"/>
        <v>5</v>
      </c>
      <c r="AG31" s="1285">
        <f t="shared" si="9"/>
        <v>0</v>
      </c>
      <c r="AH31" s="1285">
        <f t="shared" si="9"/>
        <v>1062</v>
      </c>
      <c r="AI31" s="1285">
        <f t="shared" si="9"/>
        <v>0</v>
      </c>
      <c r="AJ31" s="1286">
        <f t="shared" si="9"/>
        <v>0</v>
      </c>
      <c r="AK31" s="1286">
        <f t="shared" si="9"/>
        <v>0</v>
      </c>
      <c r="AL31" s="1278">
        <f t="shared" si="9"/>
        <v>51</v>
      </c>
      <c r="AM31" s="1278">
        <f t="shared" si="9"/>
        <v>85</v>
      </c>
      <c r="AN31" s="1278">
        <f t="shared" si="9"/>
        <v>0</v>
      </c>
      <c r="AO31" s="1278">
        <f t="shared" si="9"/>
        <v>0</v>
      </c>
      <c r="AP31" s="1278">
        <f>IF(ISNUMBER(((Datos!L31/Datos!K31)*11)/factor_trimestre),((Datos!L31/Datos!K31)*11)/factor_trimestre," - ")</f>
        <v>2.9578059071729963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-8.2568807339449546E-2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25.953805116013335</v>
      </c>
      <c r="AM33" s="1006"/>
      <c r="AN33" s="1006">
        <f>IF(ISNUMBER(STDEV(AN8:AN30)),STDEV(AN8:AN30),"-")</f>
        <v>0</v>
      </c>
      <c r="AO33" s="1012">
        <f>IF(ISNUMBER(STDEV(AO8:AO30)),STDEV(AO8:AO30),"-")</f>
        <v>0</v>
      </c>
      <c r="AP33" s="1065">
        <f>IF(ISNUMBER(STDEV(AP8:AP30)),STDEV(AP8:AP30),"-")</f>
        <v>3.4743880167475156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0It/j8GmHyQJLpzZQqTd9aqvloJKIDDCHM2Meg20hkgZgg0gzOII4zb68Lzn0qnmPsZbuhgdNcSH8hx18eL2Q==" saltValue="GEWw2NJjFKLvW6TfnKKK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EwFMS0ZXz02OUVQPOnG3NyUhC3YAyVVOHgDCmHjCpUd3amWdTuustGNa/iCukg9xkH8xWjJK3iYxIkp8Jj4DQ==" saltValue="3aGGTP0WJHsEahvzcKlf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85</v>
      </c>
      <c r="G12" s="452">
        <f t="shared" si="1"/>
        <v>42.5</v>
      </c>
      <c r="H12" s="451">
        <f>IF(ISNUMBER(Datos!O12),Datos!O12," - ")</f>
        <v>105</v>
      </c>
      <c r="I12" s="452">
        <f t="shared" si="2"/>
        <v>52.5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51</v>
      </c>
      <c r="E14" s="1147">
        <f t="shared" si="0"/>
        <v>17</v>
      </c>
      <c r="F14" s="1146">
        <f>SUBTOTAL(9,F9:F13)</f>
        <v>85</v>
      </c>
      <c r="G14" s="1147">
        <f t="shared" si="1"/>
        <v>28.333333333333332</v>
      </c>
      <c r="H14" s="1146">
        <f>SUBTOTAL(9,H9:H13)</f>
        <v>105</v>
      </c>
      <c r="I14" s="1147">
        <f>IF(ISNUMBER(H14/B14),H14/B14," - ")</f>
        <v>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25</v>
      </c>
      <c r="E17" s="452">
        <f t="shared" si="3"/>
        <v>12.5</v>
      </c>
      <c r="F17" s="451">
        <f>IF(ISNUMBER(Datos!N17),Datos!N17," - ")</f>
        <v>161</v>
      </c>
      <c r="G17" s="452">
        <f t="shared" si="4"/>
        <v>80.5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172</v>
      </c>
      <c r="G23" s="1147">
        <f t="shared" si="4"/>
        <v>57.333333333333336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78</v>
      </c>
      <c r="E31" s="1085">
        <f>IF(ISNUMBER(D31/B31),D31/B31," - ")</f>
        <v>39</v>
      </c>
      <c r="F31" s="1084">
        <f>SUBTOTAL(9,F8:F30)</f>
        <v>257</v>
      </c>
      <c r="G31" s="1085">
        <f>IF(ISNUMBER(F31/B31),F31/B31," - ")</f>
        <v>128.5</v>
      </c>
      <c r="H31" s="1084">
        <f>SUBTOTAL(9,H8:H30)</f>
        <v>108</v>
      </c>
      <c r="I31" s="1085">
        <f>IF(ISNUMBER(H31/B31),H31/B31," - ")</f>
        <v>54</v>
      </c>
    </row>
    <row r="34" spans="1:1">
      <c r="A34" s="439" t="str">
        <f>Criterios!A4</f>
        <v>Fecha Informe: 06 may. 2023</v>
      </c>
    </row>
    <row r="39" spans="1:1">
      <c r="A39" s="462"/>
    </row>
  </sheetData>
  <sheetProtection algorithmName="SHA-512" hashValue="jWr2uaOB4WkDO9d7sKyBLKZauTP/PI1BnBwgqGcD0CV/l22iALVK0yuG7K7MD8V0aF+MfPnWDdAhQo6A4g8mMQ==" saltValue="H/jMKtBuSaSAnZE53h6k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153</v>
      </c>
      <c r="D12" s="456">
        <f>IF(ISNUMBER(Datos!R12),Datos!R12," - ")</f>
        <v>1062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153</v>
      </c>
      <c r="D14" s="1148">
        <f>SUBTOTAL(9,D9:D13)</f>
        <v>1063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9</v>
      </c>
      <c r="D17" s="456">
        <f>IF(ISNUMBER(Datos!R17),Datos!R17," - ")</f>
        <v>37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9</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162</v>
      </c>
      <c r="D31" s="1090">
        <f>SUBTOTAL(9,D8:D30)</f>
        <v>1100</v>
      </c>
    </row>
    <row r="32" spans="1:4" ht="7.5" customHeight="1"/>
    <row r="33" spans="1:1" ht="6" customHeight="1"/>
    <row r="34" spans="1:1">
      <c r="A34" s="439" t="str">
        <f>Criterios!A4</f>
        <v>Fecha Informe: 06 may. 2023</v>
      </c>
    </row>
    <row r="39" spans="1:1">
      <c r="A39" s="462"/>
    </row>
  </sheetData>
  <sheetProtection algorithmName="SHA-512" hashValue="umLDsSEWmEMZgDr3GkMQGE551X1xJ/g1Nm0eSN5nL0jDqA+mA/0BrR0KQ/bRVIWeYF7hbRp+g4qA3zy5ZGMmuQ==" saltValue="4soY7Kg3PbCOb32aNofE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-0.17142857142857143</v>
      </c>
      <c r="C12" s="515">
        <f>IF(ISNUMBER(
   IF(J_V="SI",(Datos!J12-Datos!T12)/Datos!T12,(Datos!J12+Datos!Z12-(Datos!T12+Datos!AH12))/(Datos!T12+Datos!AH12))
     ),IF(J_V="SI",(Datos!J12-Datos!T12)/Datos!T12,(Datos!J12+Datos!Z12-(Datos!T12+Datos!AH12))/(Datos!T12+Datos!AH12))," - ")</f>
        <v>0.21182266009852216</v>
      </c>
      <c r="D12" s="515">
        <f>IF(ISNUMBER(
   IF(J_V="SI",(Datos!K12-Datos!U12)/Datos!U12,(Datos!K12+Datos!AA12-(Datos!U12+Datos!AI12))/(Datos!U12+Datos!AI12))
     ),IF(J_V="SI",(Datos!K12-Datos!U12)/Datos!U12,(Datos!K12+Datos!AA12-(Datos!U12+Datos!AI12))/(Datos!U12+Datos!AI12))," - ")</f>
        <v>-4.6296296296296294E-2</v>
      </c>
      <c r="E12" s="515">
        <f>IF(ISNUMBER(
   IF(J_V="SI",(Datos!L12-Datos!V12)/Datos!V12,(Datos!L12+Datos!AB12-(Datos!V12+Datos!AJ12))/(Datos!V12+Datos!AJ12))
     ),IF(J_V="SI",(Datos!L12-Datos!V12)/Datos!V12,(Datos!L12+Datos!AB12-(Datos!V12+Datos!AJ12))/(Datos!V12+Datos!AJ12))," - ")</f>
        <v>-7.6782449725776969E-2</v>
      </c>
      <c r="F12" s="515">
        <f>IF(ISNUMBER((Datos!M12-Datos!W12)/Datos!W12),(Datos!M12-Datos!W12)/Datos!W12," - ")</f>
        <v>0.21951219512195122</v>
      </c>
      <c r="G12" s="516">
        <f>IF(ISNUMBER((Datos!N12-Datos!X12)/Datos!X12),(Datos!N12-Datos!X12)/Datos!X12," - ")</f>
        <v>-0.12371134020618557</v>
      </c>
      <c r="H12" s="514">
        <f>IF(ISNUMBER(((NºAsuntos!G12/NºAsuntos!E12)-Datos!BD12)/Datos!BD12),((NºAsuntos!G12/NºAsuntos!E12)-Datos!BD12)/Datos!BD12," - ")</f>
        <v>-0.21300060222824452</v>
      </c>
      <c r="I12" s="515">
        <f>IF(ISNUMBER(((NºAsuntos!I12/NºAsuntos!G12)-Datos!BE12)/Datos!BE12),((NºAsuntos!I12/NºAsuntos!G12)-Datos!BE12)/Datos!BE12," - ")</f>
        <v>-3.1966063790135071E-2</v>
      </c>
      <c r="J12" s="521">
        <f>IF(ISNUMBER((('Resol  Asuntos'!D12/NºAsuntos!G12)-Datos!BF12)/Datos!BF12),(('Resol  Asuntos'!D12/NºAsuntos!G12)-Datos!BF12)/Datos!BF12," - ")</f>
        <v>-0.45951356220598538</v>
      </c>
      <c r="K12" s="522">
        <f>IF(ISNUMBER((((NºAsuntos!C12+NºAsuntos!E12)/NºAsuntos!G12)-Datos!BG12)/Datos!BG12),(((NºAsuntos!C12+NºAsuntos!E12)/NºAsuntos!G12)-Datos!BG12)/Datos!BG12," - ")</f>
        <v>-2.4290931300818247E-2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-0.16934046345811052</v>
      </c>
      <c r="C14" s="1152">
        <f>IF(ISNUMBER(
   IF(J_V="SI",(Datos!J14-Datos!T14)/Datos!T14,(Datos!J14+Datos!Z14-(Datos!T14+Datos!AH14))/(Datos!T14+Datos!AH14))
     ),IF(J_V="SI",(Datos!J14-Datos!T14)/Datos!T14,(Datos!J14+Datos!Z14-(Datos!T14+Datos!AH14))/(Datos!T14+Datos!AH14))," - ")</f>
        <v>0.23152709359605911</v>
      </c>
      <c r="D14" s="1152">
        <f>IF(ISNUMBER(
   IF(J_V="SI",(Datos!K14-Datos!U14)/Datos!U14,(Datos!K14+Datos!AA14-(Datos!U14+Datos!AI14))/(Datos!U14+Datos!AI14))
     ),IF(J_V="SI",(Datos!K14-Datos!U14)/Datos!U14,(Datos!K14+Datos!AA14-(Datos!U14+Datos!AI14))/(Datos!U14+Datos!AI14))," - ")</f>
        <v>-4.1666666666666664E-2</v>
      </c>
      <c r="E14" s="1152">
        <f>IF(ISNUMBER(
   IF(J_V="SI",(Datos!L14-Datos!V14)/Datos!V14,(Datos!L14+Datos!AB14-(Datos!V14+Datos!AJ14))/(Datos!V14+Datos!AJ14))
     ),IF(J_V="SI",(Datos!L14-Datos!V14)/Datos!V14,(Datos!L14+Datos!AB14-(Datos!V14+Datos!AJ14))/(Datos!V14+Datos!AJ14))," - ")</f>
        <v>-6.9343065693430656E-2</v>
      </c>
      <c r="F14" s="1153">
        <f>IF(ISNUMBER((Datos!M14-Datos!W14)/Datos!W14),(Datos!M14-Datos!W14)/Datos!W14," - ")</f>
        <v>0.24390243902439024</v>
      </c>
      <c r="G14" s="1154">
        <f>IF(ISNUMBER((Datos!N14-Datos!X14)/Datos!X14),(Datos!N14-Datos!X14)/Datos!X14," - ")</f>
        <v>-0.12371134020618557</v>
      </c>
      <c r="H14" s="1154">
        <f>IF(ISNUMBER(((NºAsuntos!G14/NºAsuntos!E14)-Datos!BD14)/Datos!BD14),((NºAsuntos!G14/NºAsuntos!E14)-Datos!BD14)/Datos!BD14," - ")</f>
        <v>-0.22183333333333341</v>
      </c>
      <c r="I14" s="1154">
        <f>IF(ISNUMBER(((NºAsuntos!I14/NºAsuntos!G14)-Datos!BE14)/Datos!BE14),((NºAsuntos!I14/NºAsuntos!G14)-Datos!BE14)/Datos!BE14," - ")</f>
        <v>-2.8879720723579944E-2</v>
      </c>
      <c r="J14" s="1154">
        <f>IF(ISNUMBER((('Resol  Asuntos'!D14/NºAsuntos!G14)-Datos!BF14)/Datos!BF14),(('Resol  Asuntos'!D14/NºAsuntos!G14)-Datos!BF14)/Datos!BF14," - ")</f>
        <v>-0.45136709995517704</v>
      </c>
      <c r="K14" s="1154">
        <f>IF(ISNUMBER((((NºAsuntos!C14+NºAsuntos!E14)/NºAsuntos!G14)-Datos!BG14)/Datos!BG14),(((NºAsuntos!C14+NºAsuntos!E14)/NºAsuntos!G14)-Datos!BG14)/Datos!BG14," - ")</f>
        <v>-2.2080582745276675E-2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0.80451127819548873</v>
      </c>
      <c r="C17" s="515">
        <f>IF(ISNUMBER(
   IF(D_I="SI",(Datos!J17-Datos!T17)/Datos!T17,(Datos!J17+Datos!AD17-(Datos!T17+Datos!AL17))/(Datos!T17+Datos!AL17))
     ),IF(D_I="SI",(Datos!J17-Datos!T17)/Datos!T17,(Datos!J17+Datos!AD17-(Datos!T17+Datos!AL17))/(Datos!T17+Datos!AL17))," - ")</f>
        <v>0.54545454545454541</v>
      </c>
      <c r="D17" s="515">
        <f>IF(ISNUMBER(
   IF(D_I="SI",(Datos!K17-Datos!U17)/Datos!U17,(Datos!K17+Datos!AE17-(Datos!U17+Datos!AM17))/(Datos!U17+Datos!AM17))
     ),IF(D_I="SI",(Datos!K17-Datos!U17)/Datos!U17,(Datos!K17+Datos!AE17-(Datos!U17+Datos!AM17))/(Datos!U17+Datos!AM17))," - ")</f>
        <v>0.99224806201550386</v>
      </c>
      <c r="E17" s="515">
        <f>IF(ISNUMBER(
   IF(D_I="SI",(Datos!L17-Datos!V17)/Datos!V17,(Datos!L17+Datos!AF17-(Datos!V17+Datos!AN17))/(Datos!V17+Datos!AN17))
     ),IF(D_I="SI",(Datos!L17-Datos!V17)/Datos!V17,(Datos!L17+Datos!AF17-(Datos!V17+Datos!AN17))/(Datos!V17+Datos!AN17))," - ")</f>
        <v>0.36423841059602646</v>
      </c>
      <c r="F17" s="515">
        <f>IF(ISNUMBER((Datos!M17-Datos!W17)/Datos!W17),(Datos!M17-Datos!W17)/Datos!W17," - ")</f>
        <v>0.47058823529411764</v>
      </c>
      <c r="G17" s="516">
        <f>IF(ISNUMBER((Datos!N17-Datos!X17)/Datos!X17),(Datos!N17-Datos!X17)/Datos!X17," - ")</f>
        <v>0.73118279569892475</v>
      </c>
      <c r="H17" s="514">
        <f>IF(ISNUMBER(((NºAsuntos!G17/NºAsuntos!E17)-Datos!BD17)/Datos!BD17),((NºAsuntos!G17/NºAsuntos!E17)-Datos!BD17)/Datos!BD17," - ")</f>
        <v>0.28910168718650264</v>
      </c>
      <c r="I17" s="515">
        <f>IF(ISNUMBER(((NºAsuntos!I17/NºAsuntos!G17)-Datos!BE17)/Datos!BE17),((NºAsuntos!I17/NºAsuntos!G17)-Datos!BE17)/Datos!BE17," - ")</f>
        <v>-0.31522663437008791</v>
      </c>
      <c r="J17" s="521">
        <f>IF(ISNUMBER((('Resol  Asuntos'!D17/NºAsuntos!G17)-Datos!BF17)/Datos!BF17),(('Resol  Asuntos'!D17/NºAsuntos!G17)-Datos!BF17)/Datos!BF17," - ")</f>
        <v>-0.26184481574731067</v>
      </c>
      <c r="K17" s="522">
        <f>IF(ISNUMBER((((NºAsuntos!C17+NºAsuntos!E17)/NºAsuntos!G17)-Datos!BG17)/Datos!BG17),(((NºAsuntos!C17+NºAsuntos!E17)/NºAsuntos!G17)-Datos!BG17)/Datos!BG17," - ")</f>
        <v>-0.16160548130603947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-0.23809523809523808</v>
      </c>
      <c r="C18" s="515">
        <f>IF(ISNUMBER(
   IF(D_I="SI",(Datos!J18-Datos!T18)/Datos!T18,(Datos!J18+Datos!AD18-(Datos!T18+Datos!AL18))/(Datos!T18+Datos!AL18))
     ),IF(D_I="SI",(Datos!J18-Datos!T18)/Datos!T18,(Datos!J18+Datos!AD18-(Datos!T18+Datos!AL18))/(Datos!T18+Datos!AL18))," - ")</f>
        <v>0.77777777777777779</v>
      </c>
      <c r="D18" s="515">
        <f>IF(ISNUMBER(
   IF(D_I="SI",(Datos!K18-Datos!U18)/Datos!U18,(Datos!K18+Datos!AE18-(Datos!U18+Datos!AM18))/(Datos!U18+Datos!AM18))
     ),IF(D_I="SI",(Datos!K18-Datos!U18)/Datos!U18,(Datos!K18+Datos!AE18-(Datos!U18+Datos!AM18))/(Datos!U18+Datos!AM18))," - ")</f>
        <v>0.72727272727272729</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1</v>
      </c>
      <c r="G18" s="516">
        <f>IF(ISNUMBER((Datos!N18-Datos!X18)/Datos!X18),(Datos!N18-Datos!X18)/Datos!X18," - ")</f>
        <v>0.22222222222222221</v>
      </c>
      <c r="H18" s="514">
        <f>IF(ISNUMBER(((NºAsuntos!G18/NºAsuntos!E18)-Datos!BD18)/Datos!BD18),((NºAsuntos!G18/NºAsuntos!E18)-Datos!BD18)/Datos!BD18," - ")</f>
        <v>-2.8409090909090988E-2</v>
      </c>
      <c r="I18" s="515">
        <f>IF(ISNUMBER(((NºAsuntos!I18/NºAsuntos!G18)-Datos!BE18)/Datos!BE18),((NºAsuntos!I18/NºAsuntos!G18)-Datos!BE18)/Datos!BE18," - ")</f>
        <v>-0.6038781163434902</v>
      </c>
      <c r="J18" s="521">
        <f>IF(ISNUMBER((('Resol  Asuntos'!D18/NºAsuntos!G18)-Datos!BF18)/Datos!BF18),(('Resol  Asuntos'!D18/NºAsuntos!G18)-Datos!BF18)/Datos!BF18," - ")</f>
        <v>0.15789473684210517</v>
      </c>
      <c r="K18" s="522">
        <f>IF(ISNUMBER((((NºAsuntos!C18+NºAsuntos!E18)/NºAsuntos!G18)-Datos!BG18)/Datos!BG18),(((NºAsuntos!C18+NºAsuntos!E18)/NºAsuntos!G18)-Datos!BG18)/Datos!BG18," - ")</f>
        <v>-0.38245614035087716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0.66233766233766234</v>
      </c>
      <c r="C23" s="1152">
        <f>IF(ISNUMBER(
   IF(Criterios!B14="SI",(Datos!J23-Datos!T23)/Datos!T23,(Datos!J23+Datos!AD23-(Datos!T23+Datos!AL23))/(Datos!T23+Datos!AL23))
     ),IF(Criterios!B14="SI",(Datos!J23-Datos!T23)/Datos!T23,(Datos!J23+Datos!AD23-(Datos!T23+Datos!AL23))/(Datos!T23+Datos!AL23))," - ")</f>
        <v>0.55921052631578949</v>
      </c>
      <c r="D23" s="1152">
        <f>IF(ISNUMBER(
   IF(Criterios!B14="SI",(Datos!K23-Datos!U23)/Datos!U23,(Datos!K23+Datos!AE23-(Datos!U23+Datos!AM23))/(Datos!U23+Datos!AM23))
     ),IF(Criterios!B14="SI",(Datos!K23-Datos!U23)/Datos!U23,(Datos!K23+Datos!AE23-(Datos!U23+Datos!AM23))/(Datos!U23+Datos!AM23))," - ")</f>
        <v>0.97142857142857142</v>
      </c>
      <c r="E23" s="1152">
        <f>IF(ISNUMBER(
   IF(Criterios!B14="SI",(Datos!L23-Datos!V23)/Datos!V23,(Datos!L23+Datos!AF23-(Datos!V23+Datos!AN23))/(Datos!V23+Datos!AN23))
     ),IF(Criterios!B14="SI",(Datos!L23-Datos!V23)/Datos!V23,(Datos!L23+Datos!AF23-(Datos!V23+Datos!AN23))/(Datos!V23+Datos!AN23))," - ")</f>
        <v>0.28823529411764703</v>
      </c>
      <c r="F23" s="1153">
        <f>IF(ISNUMBER((Datos!M23-Datos!W23)/Datos!W23),(Datos!M23-Datos!W23)/Datos!W23," - ")</f>
        <v>0.5</v>
      </c>
      <c r="G23" s="1154">
        <f>IF(ISNUMBER((Datos!N23-Datos!X23)/Datos!X23),(Datos!N23-Datos!X23)/Datos!X23," - ")</f>
        <v>0.68627450980392157</v>
      </c>
      <c r="H23" s="1154">
        <f>IF(ISNUMBER(((NºAsuntos!G23/NºAsuntos!E23)-Datos!BD23)/Datos!BD23),((NºAsuntos!G23/NºAsuntos!E23)-Datos!BD23)/Datos!BD23," - ")</f>
        <v>0.26437613019891504</v>
      </c>
      <c r="I23" s="1154">
        <f>IF(ISNUMBER(((NºAsuntos!I23/NºAsuntos!G23)-Datos!BE23)/Datos!BE23),((NºAsuntos!I23/NºAsuntos!G23)-Datos!BE23)/Datos!BE23," - ")</f>
        <v>-0.34654731457800508</v>
      </c>
      <c r="J23" s="1154">
        <f>IF(ISNUMBER((('Resol  Asuntos'!D23/NºAsuntos!G23)-Datos!BF23)/Datos!BF23),(('Resol  Asuntos'!D23/NºAsuntos!G23)-Datos!BF23)/Datos!BF23," - ")</f>
        <v>-0.23913043478260859</v>
      </c>
      <c r="K23" s="1154">
        <f>IF(ISNUMBER((((NºAsuntos!C23+NºAsuntos!E23)/NºAsuntos!G23)-Datos!BG23)/Datos!BG23),(((NºAsuntos!C23+NºAsuntos!E23)/NºAsuntos!G23)-Datos!BG23)/Datos!BG23," - ")</f>
        <v>-0.18276972624798707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9.7902097902097911E-3</v>
      </c>
      <c r="C31" s="1092">
        <f>IF(ISNUMBER(
   IF(J_V="SI",(Datos!J31-Datos!T31)/Datos!T31,(Datos!J31+Datos!Z31-(Datos!T31+Datos!AH31))/(Datos!T31+Datos!AH31))
     ),IF(J_V="SI",(Datos!J31-Datos!T31)/Datos!T31,(Datos!J31+Datos!Z31-(Datos!T31+Datos!AH31))/(Datos!T31+Datos!AH31))," - ")</f>
        <v>0.37183098591549296</v>
      </c>
      <c r="D31" s="1092">
        <f>IF(ISNUMBER(
   IF(J_V="SI",(Datos!K31-Datos!U31)/Datos!U31,(Datos!K31+Datos!AA31-(Datos!U31+Datos!AI31))/(Datos!U31+Datos!AI31))
     ),IF(J_V="SI",(Datos!K31-Datos!U31)/Datos!U31,(Datos!K31+Datos!AA31-(Datos!U31+Datos!AI31))/(Datos!U31+Datos!AI31))," - ")</f>
        <v>0.35674157303370785</v>
      </c>
      <c r="E31" s="1092">
        <f>IF(ISNUMBER(
   IF(J_V="SI",(Datos!L31-Datos!V31)/Datos!V31,(Datos!L31+Datos!AB31-(Datos!V31+Datos!AJ31))/(Datos!V31+Datos!AJ31))
     ),IF(J_V="SI",(Datos!L31-Datos!V31)/Datos!V31,(Datos!L31+Datos!AB31-(Datos!V31+Datos!AJ31))/(Datos!V31+Datos!AJ31))," - ")</f>
        <v>1.532033426183844E-2</v>
      </c>
      <c r="F31" s="1093">
        <f>IF(ISNUMBER((Datos!M31-Datos!W31)/Datos!W31),(Datos!M31-Datos!W31)/Datos!W31," - ")</f>
        <v>0.32203389830508472</v>
      </c>
      <c r="G31" s="1094">
        <f>IF(ISNUMBER((Datos!N31-Datos!X31)/Datos!X31),(Datos!N31-Datos!X31)/Datos!X31," - ")</f>
        <v>0.29145728643216079</v>
      </c>
      <c r="H31" s="1095">
        <f>IF(ISNUMBER((Tasas!B31-Datos!BD31)/Datos!BD31),(Tasas!B31-Datos!BD31)/Datos!BD31," - ")</f>
        <v>-1.0999469349145198E-2</v>
      </c>
      <c r="I31" s="1096">
        <f>IF(ISNUMBER((Tasas!C31-Datos!BE31)/Datos!BE31),(Tasas!C31-Datos!BE31)/Datos!BE31," - ")</f>
        <v>-0.25164795238671944</v>
      </c>
      <c r="J31" s="1097">
        <f>IF(ISNUMBER((Tasas!D31-Datos!BF31)/Datos!BF31),(Tasas!D31-Datos!BF31)/Datos!BF31," - ")</f>
        <v>-0.50008101539292471</v>
      </c>
      <c r="K31" s="1097">
        <f>IF(ISNUMBER((Tasas!E31-Datos!BG31)/Datos!BG31),(Tasas!E31-Datos!BG31)/Datos!BG31," - ")</f>
        <v>-0.16719103732512922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wuWln9w9Fc9JsvZnPBKJANzGHQuv/jRg17tt3Rl7eiY825ZLijVXrSkjIz/R93OwNZs4JxBQHDJJ/63ZsMyCQ==" saltValue="oVKUlSzLGC3IY/H092zJ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0.83739837398373984</v>
      </c>
      <c r="C12" s="498">
        <f>IF(ISNUMBER(NºAsuntos!I12/NºAsuntos!G12),NºAsuntos!I12/NºAsuntos!G12," - ")</f>
        <v>2.4514563106796117</v>
      </c>
      <c r="D12" s="499">
        <f>IF(ISNUMBER('Resol  Asuntos'!D12/NºAsuntos!G12),'Resol  Asuntos'!D12/NºAsuntos!G12," - ")</f>
        <v>0.24271844660194175</v>
      </c>
      <c r="E12" s="500">
        <f>IF(ISNUMBER((NºAsuntos!C12+NºAsuntos!E12)/NºAsuntos!G12),(NºAsuntos!C12+NºAsuntos!E12)/NºAsuntos!G12," - ")</f>
        <v>3.4466019417475726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0.82799999999999996</v>
      </c>
      <c r="C14" s="1156">
        <f>IF(ISNUMBER(NºAsuntos!I14/NºAsuntos!G14),NºAsuntos!I14/NºAsuntos!G14," - ")</f>
        <v>2.4637681159420288</v>
      </c>
      <c r="D14" s="1157">
        <f>IF(ISNUMBER('Resol  Asuntos'!D14/NºAsuntos!G14),'Resol  Asuntos'!D14/NºAsuntos!G14," - ")</f>
        <v>0.24637681159420291</v>
      </c>
      <c r="E14" s="1158">
        <f>IF(ISNUMBER((NºAsuntos!C14+NºAsuntos!E14)/NºAsuntos!G14),(NºAsuntos!C14+NºAsuntos!E14)/NºAsuntos!G14," - ")</f>
        <v>3.4589371980676327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1.16289592760181</v>
      </c>
      <c r="C17" s="498">
        <f>IF(ISNUMBER(NºAsuntos!I17/NºAsuntos!G17),NºAsuntos!I17/NºAsuntos!G17," - ")</f>
        <v>0.80155642023346307</v>
      </c>
      <c r="D17" s="499">
        <f>IF(ISNUMBER('Resol  Asuntos'!D17/NºAsuntos!G17),'Resol  Asuntos'!D17/NºAsuntos!G17," - ")</f>
        <v>9.727626459143969E-2</v>
      </c>
      <c r="E17" s="500">
        <f>IF(ISNUMBER((NºAsuntos!C17+NºAsuntos!E17)/NºAsuntos!G17),(NºAsuntos!C17+NºAsuntos!E17)/NºAsuntos!G17," - ")</f>
        <v>1.7937743190661479</v>
      </c>
      <c r="G17" s="523"/>
    </row>
    <row r="18" spans="1:7">
      <c r="A18" s="450" t="str">
        <f>Datos!A18</f>
        <v>Jdos. Violencia contra la mujer</v>
      </c>
      <c r="B18" s="497">
        <f>IF(ISNUMBER(NºAsuntos!G18/NºAsuntos!E18),NºAsuntos!G18/NºAsuntos!E18," - ")</f>
        <v>1.1875</v>
      </c>
      <c r="C18" s="498">
        <f>IF(ISNUMBER(NºAsuntos!I18/NºAsuntos!G18),NºAsuntos!I18/NºAsuntos!G18," - ")</f>
        <v>0.68421052631578949</v>
      </c>
      <c r="D18" s="499">
        <f>IF(ISNUMBER('Resol  Asuntos'!D18/NºAsuntos!G18),'Resol  Asuntos'!D18/NºAsuntos!G18," - ")</f>
        <v>0.10526315789473684</v>
      </c>
      <c r="E18" s="500">
        <f>IF(ISNUMBER((NºAsuntos!C18+NºAsuntos!E18)/NºAsuntos!G18),(NºAsuntos!C18+NºAsuntos!E18)/NºAsuntos!G18," - ")</f>
        <v>1.6842105263157894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1.1645569620253164</v>
      </c>
      <c r="C23" s="1156">
        <f>IF(ISNUMBER(NºAsuntos!I23/NºAsuntos!G23),NºAsuntos!I23/NºAsuntos!G23," - ")</f>
        <v>0.79347826086956519</v>
      </c>
      <c r="D23" s="1159">
        <f>IF(ISNUMBER('Resol  Asuntos'!D23/NºAsuntos!G23),'Resol  Asuntos'!D23/NºAsuntos!G23," - ")</f>
        <v>9.7826086956521743E-2</v>
      </c>
      <c r="E23" s="1158">
        <f>IF(ISNUMBER((NºAsuntos!C23+NºAsuntos!E23)/NºAsuntos!G23),(NºAsuntos!C23+NºAsuntos!E23)/NºAsuntos!G23," - ")</f>
        <v>1.786231884057971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0.99178644763860369</v>
      </c>
      <c r="C31" s="1099">
        <f>IF(ISNUMBER(NºAsuntos!I31/NºAsuntos!G31),NºAsuntos!I31/NºAsuntos!G31," - ")</f>
        <v>1.5093167701863355</v>
      </c>
      <c r="D31" s="1100">
        <f>IF(ISNUMBER('Resol  Asuntos'!D31/NºAsuntos!G31),'Resol  Asuntos'!D31/NºAsuntos!G31," - ")</f>
        <v>0.16149068322981366</v>
      </c>
      <c r="E31" s="1101">
        <f>IF(ISNUMBER((NºAsuntos!C31+NºAsuntos!E31)/NºAsuntos!G31),(NºAsuntos!C31+NºAsuntos!E31)/NºAsuntos!G31," - ")</f>
        <v>2.5031055900621118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2tZyXYzSnTFpQkuSboqM9u03tcY7Ofo+3rsr1mig/k6Y4SV8peTlqfDeZsoV77og5cJ662dYiUMmh5jcWcvvA==" saltValue="gf2vznpRJdML7VT3tvva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10</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153</v>
      </c>
      <c r="Y12" s="374">
        <f t="shared" si="0"/>
        <v>153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0.83739837398373984</v>
      </c>
      <c r="AM12" s="284">
        <f>IF(ISNUMBER(((NºAsuntos!I12/NºAsuntos!G12)*11)/factor_trimestre),((NºAsuntos!I12/NºAsuntos!G12)*11)/factor_trimestre," - ")</f>
        <v>4.9029126213592233</v>
      </c>
      <c r="AN12" s="267">
        <f>IF(ISNUMBER('Resol  Asuntos'!D12/NºAsuntos!G12),'Resol  Asuntos'!D12/NºAsuntos!G12," - ")</f>
        <v>0.24271844660194175</v>
      </c>
      <c r="AO12" s="268">
        <f>IF(ISNUMBER((NºAsuntos!C12+NºAsuntos!E12)/NºAsuntos!G12),(NºAsuntos!C12+NºAsuntos!E12)/NºAsuntos!G12," - ")</f>
        <v>3.4466019417475726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153</v>
      </c>
      <c r="Y14" s="1165">
        <f t="shared" si="6"/>
        <v>154</v>
      </c>
      <c r="Z14" s="1165">
        <f t="shared" si="6"/>
        <v>0</v>
      </c>
      <c r="AA14" s="1165">
        <f t="shared" si="6"/>
        <v>5</v>
      </c>
      <c r="AB14" s="1165">
        <f t="shared" si="6"/>
        <v>1063</v>
      </c>
      <c r="AC14" s="1165">
        <f t="shared" si="6"/>
        <v>6</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0.82799999999999996</v>
      </c>
      <c r="AM14" s="1171">
        <f>IF(ISNUMBER(((NºAsuntos!I14/NºAsuntos!G14)*11)/factor_trimestre),((NºAsuntos!I14/NºAsuntos!G14)*11)/factor_trimestre," - ")</f>
        <v>4.9275362318840576</v>
      </c>
      <c r="AN14" s="1172">
        <f>IF(ISNUMBER('Resol  Asuntos'!D14/NºAsuntos!G14),'Resol  Asuntos'!D14/NºAsuntos!G14," - ")</f>
        <v>0.24637681159420291</v>
      </c>
      <c r="AO14" s="1173">
        <f>IF(ISNUMBER((NºAsuntos!C14+NºAsuntos!E14)/NºAsuntos!G14),(NºAsuntos!C14+NºAsuntos!E14)/NºAsuntos!G14," - ")</f>
        <v>3.4589371980676327</v>
      </c>
      <c r="AP14" s="1174" t="str">
        <f t="shared" si="2"/>
        <v xml:space="preserve"> - </v>
      </c>
      <c r="AQ14" s="1174">
        <f>IF(ISNUMBER((H14-W14+K14)/(F14)),(H14-W14+K14)/(F14)," - ")</f>
        <v>-0.5</v>
      </c>
      <c r="AR14" s="1175">
        <f>IF(ISNUMBER((Datos!P14-Datos!Q14)/(Datos!R14-Datos!P14+Datos!Q14)),(Datos!P14-Datos!Q14)/(Datos!R14-Datos!P14+Datos!Q14)," - ")</f>
        <v>-8.5197934595524952E-2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242</v>
      </c>
      <c r="G17" s="373">
        <f>IF(ISNUMBER(IF(D_I="SI",Datos!I17,Datos!I17+Datos!AC17)),IF(D_I="SI",Datos!I17,Datos!I17+Datos!AC17)," - ")</f>
        <v>240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257</v>
      </c>
      <c r="X17" s="240">
        <f>IF(ISNUMBER(Datos!Q17),Datos!Q17," - ")</f>
        <v>9</v>
      </c>
      <c r="Y17" s="374">
        <f t="shared" ref="Y17:Y22" si="9">SUM(W17:X17)</f>
        <v>266</v>
      </c>
      <c r="Z17" s="375" t="str">
        <f>IF(ISNUMBER(Datos!CC17),Datos!CC17," - ")</f>
        <v xml:space="preserve"> - </v>
      </c>
      <c r="AA17" s="372">
        <f>IF(ISNUMBER(IF(D_I="SI",Datos!L17,Datos!L17+Datos!AF17)),IF(D_I="SI",Datos!L17,Datos!L17+Datos!AF17)," - ")</f>
        <v>206</v>
      </c>
      <c r="AB17" s="374">
        <f>IF(ISNUMBER(Datos!R17),Datos!R17," - ")</f>
        <v>37</v>
      </c>
      <c r="AC17" s="374">
        <f t="shared" si="8"/>
        <v>243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1.16289592760181</v>
      </c>
      <c r="AM17" s="284">
        <f>IF(ISNUMBER(((NºAsuntos!I17/NºAsuntos!G17)*11)/factor_trimestre),((NºAsuntos!I17/NºAsuntos!G17)*11)/factor_trimestre," - ")</f>
        <v>1.6031128404669261</v>
      </c>
      <c r="AN17" s="267">
        <f>IF(ISNUMBER('Resol  Asuntos'!D17/NºAsuntos!G17),'Resol  Asuntos'!D17/NºAsuntos!G17," - ")</f>
        <v>9.727626459143969E-2</v>
      </c>
      <c r="AO17" s="268">
        <f>IF(ISNUMBER((NºAsuntos!C17+NºAsuntos!E17)/NºAsuntos!G17),(NºAsuntos!C17+NºAsuntos!E17)/NºAsuntos!G17," - ")</f>
        <v>1.7937743190661479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1.1875</v>
      </c>
      <c r="AM18" s="284">
        <f>IF(ISNUMBER(((NºAsuntos!I18/NºAsuntos!G18)*11)/factor_trimestre),((NºAsuntos!I18/NºAsuntos!G18)*11)/factor_trimestre," - ")</f>
        <v>1.368421052631579</v>
      </c>
      <c r="AN18" s="267">
        <f>IF(ISNUMBER('Resol  Asuntos'!D18/NºAsuntos!G18),'Resol  Asuntos'!D18/NºAsuntos!G18," - ")</f>
        <v>0.10526315789473684</v>
      </c>
      <c r="AO18" s="268">
        <f>IF(ISNUMBER((NºAsuntos!C18+NºAsuntos!E18)/NºAsuntos!G18),(NºAsuntos!C18+NºAsuntos!E18)/NºAsuntos!G18," - ")</f>
        <v>1.6842105263157894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242</v>
      </c>
      <c r="G23" s="1163">
        <f>SUBTOTAL(9,G16:G22)</f>
        <v>256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276</v>
      </c>
      <c r="X23" s="1164">
        <f t="shared" si="14"/>
        <v>9</v>
      </c>
      <c r="Y23" s="1165">
        <f t="shared" si="14"/>
        <v>285</v>
      </c>
      <c r="Z23" s="1165">
        <f t="shared" si="14"/>
        <v>0</v>
      </c>
      <c r="AA23" s="1165">
        <f t="shared" si="14"/>
        <v>219</v>
      </c>
      <c r="AB23" s="1165">
        <f t="shared" si="14"/>
        <v>37</v>
      </c>
      <c r="AC23" s="1165">
        <f t="shared" si="14"/>
        <v>256</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1.1645569620253164</v>
      </c>
      <c r="AM23" s="1171">
        <f>IF(ISNUMBER(((NºAsuntos!I23/NºAsuntos!G23)*11)/factor_trimestre),((NºAsuntos!I23/NºAsuntos!G23)*11)/factor_trimestre," - ")</f>
        <v>1.5869565217391304</v>
      </c>
      <c r="AN23" s="1172">
        <f>IF(ISNUMBER('Resol  Asuntos'!D23/NºAsuntos!G23),'Resol  Asuntos'!D23/NºAsuntos!G23," - ")</f>
        <v>9.7826086956521743E-2</v>
      </c>
      <c r="AO23" s="1173">
        <f>IF(ISNUMBER((NºAsuntos!C23+NºAsuntos!E23)/NºAsuntos!G23),(NºAsuntos!C23+NºAsuntos!E23)/NºAsuntos!G23," - ")</f>
        <v>1.786231884057971</v>
      </c>
      <c r="AP23" s="1174" t="str">
        <f t="shared" si="2"/>
        <v xml:space="preserve"> - </v>
      </c>
      <c r="AQ23" s="1174">
        <f>IF(ISNUMBER((H23-W23+K23)/(F23)),(H23-W23+K23)/(F23)," - ")</f>
        <v>-1.140495867768595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244</v>
      </c>
      <c r="G31" s="1118">
        <f t="shared" si="20"/>
        <v>258</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277</v>
      </c>
      <c r="X31" s="1118">
        <f t="shared" si="21"/>
        <v>162</v>
      </c>
      <c r="Y31" s="1125">
        <f t="shared" si="21"/>
        <v>439</v>
      </c>
      <c r="Z31" s="1125">
        <f t="shared" si="21"/>
        <v>0</v>
      </c>
      <c r="AA31" s="1125">
        <f t="shared" si="21"/>
        <v>224</v>
      </c>
      <c r="AB31" s="1125">
        <f t="shared" si="21"/>
        <v>1100</v>
      </c>
      <c r="AC31" s="1125">
        <f t="shared" si="21"/>
        <v>262</v>
      </c>
      <c r="AD31" s="1125">
        <f t="shared" si="21"/>
        <v>0</v>
      </c>
      <c r="AE31" s="1127">
        <f t="shared" si="21"/>
        <v>0</v>
      </c>
      <c r="AF31" s="1128">
        <f t="shared" si="21"/>
        <v>0</v>
      </c>
      <c r="AG31" s="1129">
        <f t="shared" si="21"/>
        <v>0</v>
      </c>
      <c r="AH31" s="1127">
        <f t="shared" si="21"/>
        <v>0</v>
      </c>
      <c r="AI31" s="1117">
        <f t="shared" si="21"/>
        <v>78</v>
      </c>
      <c r="AJ31" s="1117">
        <f t="shared" si="21"/>
        <v>0</v>
      </c>
      <c r="AK31" s="1127">
        <f t="shared" si="21"/>
        <v>0</v>
      </c>
      <c r="AL31" s="1183">
        <f>IF(ISNUMBER(NºAsuntos!G31/NºAsuntos!E31),NºAsuntos!G31/NºAsuntos!E31," - ")</f>
        <v>0.99178644763860369</v>
      </c>
      <c r="AM31" s="1184">
        <f>IF(ISNUMBER(((NºAsuntos!I31/NºAsuntos!G31)*11)/factor_trimestre),((NºAsuntos!I31/NºAsuntos!G31)*11)/factor_trimestre," - ")</f>
        <v>3.0186335403726705</v>
      </c>
      <c r="AN31" s="1184">
        <f>IF(ISNUMBER('Resol  Asuntos'!D31/NºAsuntos!G31),'Resol  Asuntos'!D31/NºAsuntos!G31," - ")</f>
        <v>0.16149068322981366</v>
      </c>
      <c r="AO31" s="1185">
        <f>IF(ISNUMBER((NºAsuntos!C31+NºAsuntos!E31)/NºAsuntos!G31),(NºAsuntos!C31+NºAsuntos!E31)/NºAsuntos!G31," - ")</f>
        <v>2.5031055900621118</v>
      </c>
      <c r="AP31" s="1186" t="str">
        <f t="shared" si="2"/>
        <v xml:space="preserve"> - </v>
      </c>
      <c r="AQ31" s="1187">
        <f>IF(OR(ISNUMBER(FIND("01",Criterios!A8,1)),ISNUMBER(FIND("02",Criterios!A8,1)),ISNUMBER(FIND("03",Criterios!A8,1)),ISNUMBER(FIND("04",Criterios!A8,1))),(I31-W31+K31)/(F31-K31),(H31-W31+K31)/(F31-K31))</f>
        <v>-1.1352459016393444</v>
      </c>
      <c r="AR31" s="1188">
        <f>IF(ISNUMBER((Datos!P31-Datos!Q31)/(Datos!R31-Datos!P31+Datos!Q31)),(Datos!P31-Datos!Q31)/(Datos!R31-Datos!P31+Datos!Q31)," - ")</f>
        <v>-8.2568807339449546E-2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124.45507891069239</v>
      </c>
      <c r="G33" s="277">
        <f>IF(ISNUMBER(STDEV(G8:G30)),STDEV(G8:G30),"-")</f>
        <v>119.27798663306694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128.2853961179637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22.097187927103175</v>
      </c>
      <c r="AJ33" s="276">
        <f t="shared" si="25"/>
        <v>0</v>
      </c>
      <c r="AK33" s="278">
        <f t="shared" si="25"/>
        <v>0</v>
      </c>
      <c r="AL33" s="273">
        <f t="shared" si="25"/>
        <v>0.36144441765922958</v>
      </c>
      <c r="AM33" s="274">
        <f t="shared" si="25"/>
        <v>3.3509227687500069</v>
      </c>
      <c r="AN33" s="274">
        <f t="shared" si="25"/>
        <v>0.3510076215158715</v>
      </c>
      <c r="AO33" s="275">
        <f t="shared" si="25"/>
        <v>1.6771874776123505</v>
      </c>
      <c r="AP33" s="317" t="str">
        <f t="shared" si="25"/>
        <v>-</v>
      </c>
      <c r="AQ33" s="318">
        <f t="shared" si="25"/>
        <v>0.45289897142113583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E19nz8ZvRrL8LY5XYOb/m2Np+w2lGQM7vG5+eL4WtWkSNPc+VELCEz4fgS7N4Hblu9vzzoia7AKeUGBOoSs9w==" saltValue="v9a7POyvcx44WH7LMMbE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0.21951219512195122</v>
      </c>
      <c r="I12" s="395">
        <f>IF(ISNUMBER((Tasas!C12-Datos!BE12)/Datos!BE12),(Tasas!C12-Datos!BE12)/Datos!BE12," - ")</f>
        <v>-3.1966063790135071E-2</v>
      </c>
      <c r="J12" s="394">
        <f>IF(ISNUMBER((Tasas!D12-Datos!BF12)/Datos!BF12),(Tasas!D12-Datos!BF12)/Datos!BF12," - ")</f>
        <v>-0.45951356220598538</v>
      </c>
      <c r="K12" s="396">
        <f>IF(ISNUMBER((Tasas!E12-Datos!BG12)/Datos!BG12),(Tasas!E12-Datos!BG12)/Datos!BG12," - ")</f>
        <v>-2.4290931300818247E-2</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12</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0.24390243902439024</v>
      </c>
      <c r="I14" s="402">
        <f>IF(ISNUMBER((Tasas!C14-Datos!BE14)/Datos!BE14),(Tasas!C14-Datos!BE14)/Datos!BE14," - ")</f>
        <v>-2.8879720723579944E-2</v>
      </c>
      <c r="J14" s="400">
        <f>IF(ISNUMBER((Tasas!D14-Datos!BF14)/Datos!BF14),(Tasas!D14-Datos!BF14)/Datos!BF14," - ")</f>
        <v>-0.45136709995517704</v>
      </c>
      <c r="K14" s="403">
        <f>IF(ISNUMBER((Tasas!E14-Datos!BG14)/Datos!BG14),(Tasas!E14-Datos!BG14)/Datos!BG14," - ")</f>
        <v>-2.2080582745276675E-2</v>
      </c>
      <c r="M14" t="e">
        <f>IF(Monitorios="SI",Datos!CE14,0)</f>
        <v>#REF!</v>
      </c>
      <c r="N14" t="e">
        <f>IF(Monitorios="SI",Datos!CF14,0)</f>
        <v>#REF!</v>
      </c>
      <c r="O14" t="e">
        <f>IF(Monitorios="SI",Datos!CG14,0)</f>
        <v>#REF!</v>
      </c>
      <c r="P14" t="e">
        <f>IF(Monitorios="SI",Datos!CH14,0)</f>
        <v>#REF!</v>
      </c>
      <c r="Q14">
        <f>IF(J_V="SI",0,Datos!AG14)</f>
        <v>17</v>
      </c>
      <c r="R14">
        <f>IF(J_V="SI",0,Datos!AH14)</f>
        <v>20</v>
      </c>
      <c r="S14">
        <f>IF(J_V="SI",0,Datos!AI14)</f>
        <v>12</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0.80451127819548873</v>
      </c>
      <c r="E17" s="393">
        <f>IF(ISNUMBER(
   IF(D_I="SI",(Datos!J17-Datos!T17)/Datos!T17,(Datos!J17+Datos!AD17-(Datos!T17+Datos!AL17))/(Datos!T17+Datos!AL17))
     ),IF(D_I="SI",(Datos!J17-Datos!T17)/Datos!T17,(Datos!J17+Datos!AD17-(Datos!T17+Datos!AL17))/(Datos!T17+Datos!AL17))," - ")</f>
        <v>0.54545454545454541</v>
      </c>
      <c r="F17" s="393">
        <f>IF(ISNUMBER(
   IF(D_I="SI",(Datos!K17-Datos!U17)/Datos!U17,(Datos!K17+Datos!AE17-(Datos!U17+Datos!AM17))/(Datos!U17+Datos!AM17))
     ),IF(D_I="SI",(Datos!K17-Datos!U17)/Datos!U17,(Datos!K17+Datos!AE17-(Datos!U17+Datos!AM17))/(Datos!U17+Datos!AM17))," - ")</f>
        <v>0.99224806201550386</v>
      </c>
      <c r="G17" s="394">
        <f>IF(ISNUMBER(
   IF(D_I="SI",(Datos!L17-Datos!V17)/Datos!V17,(Datos!L17+Datos!AF17-(Datos!V17+Datos!AN17))/(Datos!V17+Datos!AN17))
     ),IF(D_I="SI",(Datos!L17-Datos!V17)/Datos!V17,(Datos!L17+Datos!AF17-(Datos!V17+Datos!AN17))/(Datos!V17+Datos!AN17))," - ")</f>
        <v>0.36423841059602646</v>
      </c>
      <c r="H17" s="244">
        <f>IF(ISNUMBER((Datos!M17-Datos!W17)/Datos!W17),(Datos!M17-Datos!W17)/Datos!W17," - ")</f>
        <v>0.47058823529411764</v>
      </c>
      <c r="I17" s="395">
        <f>IF(ISNUMBER((Tasas!C17-Datos!BE17)/Datos!BE17),(Tasas!C17-Datos!BE17)/Datos!BE17," - ")</f>
        <v>-0.31522663437008791</v>
      </c>
      <c r="J17" s="394">
        <f>IF(ISNUMBER((Tasas!D17-Datos!BF17)/Datos!BF17),(Tasas!D17-Datos!BF17)/Datos!BF17," - ")</f>
        <v>-0.26184481574731067</v>
      </c>
      <c r="K17" s="396">
        <f>IF(ISNUMBER((Tasas!E17-Datos!BG17)/Datos!BG17),(Tasas!E17-Datos!BG17)/Datos!BG17," - ")</f>
        <v>-0.16160548130603947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-0.23809523809523808</v>
      </c>
      <c r="E18" s="393">
        <f>IF(ISNUMBER(
   IF(D_I="SI",(Datos!J18-Datos!T18)/Datos!T18,(Datos!J18+Datos!AD18-(Datos!T18+Datos!AL18))/(Datos!T18+Datos!AL18))
     ),IF(D_I="SI",(Datos!J18-Datos!T18)/Datos!T18,(Datos!J18+Datos!AD18-(Datos!T18+Datos!AL18))/(Datos!T18+Datos!AL18))," - ")</f>
        <v>0.77777777777777779</v>
      </c>
      <c r="F18" s="393">
        <f>IF(ISNUMBER(
   IF(D_I="SI",(Datos!K18-Datos!U18)/Datos!U18,(Datos!K18+Datos!AE18-(Datos!U18+Datos!AM18))/(Datos!U18+Datos!AM18))
     ),IF(D_I="SI",(Datos!K18-Datos!U18)/Datos!U18,(Datos!K18+Datos!AE18-(Datos!U18+Datos!AM18))/(Datos!U18+Datos!AM18))," - ")</f>
        <v>0.72727272727272729</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1</v>
      </c>
      <c r="I18" s="395">
        <f>IF(ISNUMBER((Tasas!C18-Datos!BE18)/Datos!BE18),(Tasas!C18-Datos!BE18)/Datos!BE18," - ")</f>
        <v>-0.6038781163434902</v>
      </c>
      <c r="J18" s="394">
        <f>IF(ISNUMBER((Tasas!D18-Datos!BF18)/Datos!BF18),(Tasas!D18-Datos!BF18)/Datos!BF18," - ")</f>
        <v>0.15789473684210517</v>
      </c>
      <c r="K18" s="396">
        <f>IF(ISNUMBER((Tasas!E18-Datos!BG18)/Datos!BG18),(Tasas!E18-Datos!BG18)/Datos!BG18," - ")</f>
        <v>-0.38245614035087716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0.66233766233766234</v>
      </c>
      <c r="E23" s="399">
        <f>IF(ISNUMBER(
   IF(D_I="SI",(Datos!J23-Datos!T23)/Datos!T23,(Datos!J23+Datos!AD23-(Datos!T23+Datos!AL23))/(Datos!T23+Datos!AL23))
     ),IF(D_I="SI",(Datos!J23-Datos!T23)/Datos!T23,(Datos!J23+Datos!AD23-(Datos!T23+Datos!AL23))/(Datos!T23+Datos!AL23))," - ")</f>
        <v>0.55921052631578949</v>
      </c>
      <c r="F23" s="399">
        <f>IF(ISNUMBER(
   IF(D_I="SI",(Datos!K23-Datos!U23)/Datos!U23,(Datos!K23+Datos!AE23-(Datos!U23+Datos!AM23))/(Datos!U23+Datos!AM23))
     ),IF(D_I="SI",(Datos!K23-Datos!U23)/Datos!U23,(Datos!K23+Datos!AE23-(Datos!U23+Datos!AM23))/(Datos!U23+Datos!AM23))," - ")</f>
        <v>0.97142857142857142</v>
      </c>
      <c r="G23" s="400">
        <f>IF(ISNUMBER(
   IF(D_I="SI",(Datos!L23-Datos!V23)/Datos!V23,(Datos!L23+Datos!AF23-(Datos!V23+Datos!AN23))/(Datos!V23+Datos!AN23))
     ),IF(D_I="SI",(Datos!L23-Datos!V23)/Datos!V23,(Datos!L23+Datos!AF23-(Datos!V23+Datos!AN23))/(Datos!V23+Datos!AN23))," - ")</f>
        <v>0.28823529411764703</v>
      </c>
      <c r="H23" s="401">
        <f>IF(ISNUMBER((Datos!M23-Datos!W23)/Datos!W23),(Datos!M23-Datos!W23)/Datos!W23," - ")</f>
        <v>0.5</v>
      </c>
      <c r="I23" s="402">
        <f>IF(ISNUMBER((Tasas!C23-Datos!BE23)/Datos!BE23),(Tasas!C23-Datos!BE23)/Datos!BE23," - ")</f>
        <v>-0.34654731457800508</v>
      </c>
      <c r="J23" s="400">
        <f>IF(ISNUMBER((Tasas!D23-Datos!BF23)/Datos!BF23),(Tasas!D23-Datos!BF23)/Datos!BF23," - ")</f>
        <v>-0.23913043478260859</v>
      </c>
      <c r="K23" s="403">
        <f>IF(ISNUMBER((Tasas!E23-Datos!BG23)/Datos!BG23),(Tasas!E23-Datos!BG23)/Datos!BG23," - ")</f>
        <v>-0.18276972624798707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9.7902097902097911E-3</v>
      </c>
      <c r="E31" s="409">
        <f>IF(ISNUMBER(
   IF(J_V="SI",(Datos!J31-Datos!T31)/Datos!T31,(Datos!J31+Datos!Z31-(Datos!T31+Datos!AH31))/(Datos!T31+Datos!AH31))
     ),IF(J_V="SI",(Datos!J31-Datos!T31)/Datos!T31,(Datos!J31+Datos!Z31-(Datos!T31+Datos!AH31))/(Datos!T31+Datos!AH31))," - ")</f>
        <v>0.37183098591549296</v>
      </c>
      <c r="F31" s="409">
        <f>IF(ISNUMBER(
   IF(J_V="SI",(Datos!K31-Datos!U31)/Datos!U31,(Datos!K31+Datos!AA31-(Datos!U31+Datos!AI31))/(Datos!U31+Datos!AI31))
     ),IF(J_V="SI",(Datos!K31-Datos!U31)/Datos!U31,(Datos!K31+Datos!AA31-(Datos!U31+Datos!AI31))/(Datos!U31+Datos!AI31))," - ")</f>
        <v>0.35674157303370785</v>
      </c>
      <c r="G31" s="410">
        <f>IF(ISNUMBER(
   IF(J_V="SI",(Datos!L31-Datos!V31)/Datos!V31,(Datos!L31+Datos!AB31-(Datos!V31+Datos!AJ31))/(Datos!V31+Datos!AJ31))
     ),IF(J_V="SI",(Datos!L31-Datos!V31)/Datos!V31,(Datos!L31+Datos!AB31-(Datos!V31+Datos!AJ31))/(Datos!V31+Datos!AJ31))," - ")</f>
        <v>1.532033426183844E-2</v>
      </c>
      <c r="H31" s="411">
        <f>IF(ISNUMBER((Datos!M31-Datos!W31)/Datos!W31),(Datos!M31-Datos!W31)/Datos!W31," - ")</f>
        <v>0.32203389830508472</v>
      </c>
      <c r="I31" s="408">
        <f>IF(ISNUMBER((Tasas!C31-Datos!BE31)/Datos!BE31),(Tasas!C31-Datos!BE31)/Datos!BE31," - ")</f>
        <v>-0.25164795238671944</v>
      </c>
      <c r="J31" s="409">
        <f>IF(ISNUMBER((Tasas!D31-Datos!BF31)/Datos!BF31),(Tasas!D31-Datos!BF31)/Datos!BF31," - ")</f>
        <v>-0.50008101539292471</v>
      </c>
      <c r="K31" s="410">
        <f>IF(ISNUMBER((Tasas!E31-Datos!BG31)/Datos!BG31),(Tasas!E31-Datos!BG31)/Datos!BG31," - ")</f>
        <v>-0.16719103732512922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0.54796081111870587</v>
      </c>
      <c r="E33" s="303">
        <f t="shared" si="1"/>
        <v>0.13034246858322757</v>
      </c>
      <c r="F33" s="303">
        <f t="shared" si="1"/>
        <v>0.14734169778997769</v>
      </c>
      <c r="G33" s="304">
        <f t="shared" si="1"/>
        <v>1.9675504793442578</v>
      </c>
      <c r="H33" s="310">
        <f t="shared" si="1"/>
        <v>0.31394796427021865</v>
      </c>
      <c r="I33" s="302">
        <f t="shared" si="1"/>
        <v>0.24190298161234644</v>
      </c>
      <c r="J33" s="303">
        <f t="shared" si="1"/>
        <v>0.25053845361609234</v>
      </c>
      <c r="K33" s="304">
        <f t="shared" si="1"/>
        <v>0.14773529710685238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BrxlZ41KtPVd0dv+UXqDEZf6e3vnEPnfEMhG7fu8Y4l7s+sfKWJDWSOUrsmetRoBbPIcK2Sa+n5ZRezC5AFNg==" saltValue="Sv5TIwOgHIJdsDnx06RJ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